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AF0EE72-847B-40BD-AC24-A30729FFD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169" i="1" l="1"/>
  <c r="F169" i="1"/>
  <c r="I169" i="1" l="1"/>
  <c r="H146" i="1"/>
  <c r="F146" i="1"/>
  <c r="I146" i="1" l="1"/>
  <c r="H127" i="1"/>
  <c r="F127" i="1"/>
  <c r="I127" i="1" l="1"/>
  <c r="F19" i="1"/>
  <c r="H19" i="1"/>
  <c r="F20" i="1"/>
  <c r="H20" i="1"/>
  <c r="I20" i="1" s="1"/>
  <c r="I19" i="1" l="1"/>
  <c r="H5" i="1" l="1"/>
  <c r="H109" i="1" l="1"/>
  <c r="F5" i="1" l="1"/>
  <c r="H184" i="1" l="1"/>
  <c r="H178" i="1"/>
  <c r="H179" i="1"/>
  <c r="H180" i="1"/>
  <c r="H181" i="1"/>
  <c r="H182" i="1"/>
  <c r="H183" i="1"/>
  <c r="F184" i="1"/>
  <c r="F183" i="1"/>
  <c r="F140" i="1"/>
  <c r="F178" i="1"/>
  <c r="F182" i="1"/>
  <c r="F181" i="1"/>
  <c r="F180" i="1"/>
  <c r="F179" i="1"/>
  <c r="I184" i="1" l="1"/>
  <c r="I183" i="1"/>
  <c r="I180" i="1"/>
  <c r="I182" i="1"/>
  <c r="I181" i="1"/>
  <c r="I179" i="1"/>
  <c r="I178" i="1"/>
  <c r="F25" i="1" l="1"/>
  <c r="H31" i="1" l="1"/>
  <c r="H66" i="1" l="1"/>
  <c r="H87" i="1" l="1"/>
  <c r="F176" i="1" l="1"/>
  <c r="F43" i="1" l="1"/>
  <c r="F63" i="1" l="1"/>
  <c r="F16" i="1" l="1"/>
  <c r="F10" i="1"/>
  <c r="F67" i="1" l="1"/>
  <c r="F75" i="1"/>
  <c r="F74" i="1"/>
  <c r="F76" i="1"/>
  <c r="F84" i="1"/>
  <c r="F102" i="1"/>
  <c r="F103" i="1"/>
  <c r="F111" i="1"/>
  <c r="F113" i="1"/>
  <c r="F112" i="1"/>
  <c r="F114" i="1"/>
  <c r="F117" i="1"/>
  <c r="F122" i="1"/>
  <c r="F134" i="1"/>
  <c r="F143" i="1"/>
  <c r="F156" i="1"/>
  <c r="F159" i="1"/>
  <c r="F162" i="1"/>
  <c r="F164" i="1"/>
  <c r="F172" i="1"/>
  <c r="F175" i="1"/>
  <c r="F174" i="1"/>
  <c r="F177" i="1"/>
  <c r="F173" i="1"/>
  <c r="F171" i="1"/>
  <c r="F168" i="1"/>
  <c r="F166" i="1"/>
  <c r="F165" i="1"/>
  <c r="F163" i="1"/>
  <c r="F161" i="1"/>
  <c r="F160" i="1"/>
  <c r="F158" i="1"/>
  <c r="F157" i="1"/>
  <c r="F155" i="1"/>
  <c r="F153" i="1"/>
  <c r="F152" i="1"/>
  <c r="F151" i="1"/>
  <c r="F150" i="1"/>
  <c r="F149" i="1"/>
  <c r="F148" i="1"/>
  <c r="F147" i="1"/>
  <c r="F145" i="1"/>
  <c r="F144" i="1"/>
  <c r="F136" i="1"/>
  <c r="F135" i="1"/>
  <c r="F133" i="1"/>
  <c r="F167" i="1"/>
  <c r="F154" i="1"/>
  <c r="F142" i="1"/>
  <c r="F170" i="1"/>
  <c r="F139" i="1"/>
  <c r="F138" i="1"/>
  <c r="F137" i="1"/>
  <c r="F132" i="1"/>
  <c r="F131" i="1"/>
  <c r="F130" i="1"/>
  <c r="F128" i="1"/>
  <c r="F126" i="1"/>
  <c r="F124" i="1"/>
  <c r="F125" i="1"/>
  <c r="F123" i="1"/>
  <c r="F121" i="1"/>
  <c r="F120" i="1"/>
  <c r="F119" i="1"/>
  <c r="F115" i="1"/>
  <c r="F110" i="1"/>
  <c r="F109" i="1"/>
  <c r="I109" i="1" s="1"/>
  <c r="F116" i="1"/>
  <c r="F108" i="1"/>
  <c r="F107" i="1"/>
  <c r="F106" i="1"/>
  <c r="F105" i="1"/>
  <c r="F104" i="1"/>
  <c r="F101" i="1"/>
  <c r="F100" i="1"/>
  <c r="F99" i="1"/>
  <c r="F98" i="1"/>
  <c r="F97" i="1"/>
  <c r="F96" i="1"/>
  <c r="F88" i="1"/>
  <c r="F87" i="1"/>
  <c r="F95" i="1"/>
  <c r="F90" i="1"/>
  <c r="F89" i="1"/>
  <c r="F94" i="1"/>
  <c r="F93" i="1"/>
  <c r="F92" i="1"/>
  <c r="F91" i="1"/>
  <c r="F86" i="1" l="1"/>
  <c r="F85" i="1"/>
  <c r="F83" i="1"/>
  <c r="F82" i="1"/>
  <c r="F81" i="1"/>
  <c r="F80" i="1"/>
  <c r="F78" i="1"/>
  <c r="F79" i="1"/>
  <c r="F77" i="1"/>
  <c r="F72" i="1"/>
  <c r="F71" i="1"/>
  <c r="F66" i="1"/>
  <c r="F65" i="1"/>
  <c r="F61" i="1"/>
  <c r="F60" i="1"/>
  <c r="F59" i="1"/>
  <c r="F58" i="1"/>
  <c r="F57" i="1"/>
  <c r="F56" i="1"/>
  <c r="F50" i="1"/>
  <c r="F49" i="1"/>
  <c r="F48" i="1"/>
  <c r="F45" i="1"/>
  <c r="F40" i="1"/>
  <c r="F38" i="1"/>
  <c r="F39" i="1"/>
  <c r="F37" i="1"/>
  <c r="F21" i="1"/>
  <c r="F22" i="1"/>
  <c r="F18" i="1"/>
  <c r="F17" i="1"/>
  <c r="F14" i="1"/>
  <c r="F13" i="1"/>
  <c r="F9" i="1"/>
  <c r="F6" i="1"/>
  <c r="H129" i="1" l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8" i="1"/>
  <c r="I138" i="1" s="1"/>
  <c r="H139" i="1"/>
  <c r="I139" i="1" s="1"/>
  <c r="H140" i="1"/>
  <c r="I140" i="1" s="1"/>
  <c r="H141" i="1"/>
  <c r="H142" i="1"/>
  <c r="I142" i="1" s="1"/>
  <c r="H143" i="1"/>
  <c r="I143" i="1" s="1"/>
  <c r="H144" i="1"/>
  <c r="I144" i="1" s="1"/>
  <c r="H147" i="1"/>
  <c r="I147" i="1" s="1"/>
  <c r="H148" i="1"/>
  <c r="I148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8" i="1"/>
  <c r="I128" i="1" s="1"/>
  <c r="H110" i="1"/>
  <c r="I110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I87" i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H72" i="1"/>
  <c r="I72" i="1" s="1"/>
  <c r="H71" i="1"/>
  <c r="I71" i="1" s="1"/>
  <c r="H70" i="1"/>
  <c r="H69" i="1"/>
  <c r="H28" i="1"/>
  <c r="I28" i="1" s="1"/>
  <c r="H29" i="1"/>
  <c r="I29" i="1" s="1"/>
  <c r="H30" i="1"/>
  <c r="H32" i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I43" i="1" s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H52" i="1"/>
  <c r="H53" i="1"/>
  <c r="H54" i="1"/>
  <c r="H55" i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H63" i="1"/>
  <c r="I63" i="1" s="1"/>
  <c r="H64" i="1"/>
  <c r="H65" i="1"/>
  <c r="I65" i="1" s="1"/>
  <c r="I66" i="1"/>
  <c r="H67" i="1"/>
  <c r="I67" i="1" s="1"/>
  <c r="H27" i="1"/>
  <c r="I27" i="1" s="1"/>
  <c r="H26" i="1"/>
  <c r="I26" i="1" s="1"/>
  <c r="H25" i="1"/>
  <c r="I25" i="1" s="1"/>
  <c r="H24" i="1"/>
  <c r="I24" i="1" s="1"/>
  <c r="H6" i="1"/>
  <c r="I6" i="1" s="1"/>
  <c r="H7" i="1"/>
  <c r="H8" i="1"/>
  <c r="H9" i="1"/>
  <c r="I9" i="1" s="1"/>
  <c r="H10" i="1"/>
  <c r="I10" i="1" s="1"/>
  <c r="H11" i="1"/>
  <c r="H12" i="1"/>
  <c r="H13" i="1"/>
  <c r="I13" i="1" s="1"/>
  <c r="H14" i="1"/>
  <c r="I14" i="1" s="1"/>
  <c r="H15" i="1"/>
  <c r="H16" i="1"/>
  <c r="I16" i="1" s="1"/>
  <c r="H17" i="1"/>
  <c r="I17" i="1" s="1"/>
  <c r="H18" i="1"/>
  <c r="I18" i="1" s="1"/>
  <c r="H21" i="1"/>
  <c r="I21" i="1" s="1"/>
  <c r="H22" i="1"/>
  <c r="I22" i="1" s="1"/>
  <c r="I5" i="1"/>
  <c r="H149" i="1" l="1"/>
  <c r="I149" i="1" s="1"/>
  <c r="H145" i="1"/>
  <c r="I145" i="1" s="1"/>
  <c r="H137" i="1"/>
  <c r="I137" i="1" s="1"/>
  <c r="F141" i="1" l="1"/>
  <c r="I141" i="1" s="1"/>
  <c r="F129" i="1"/>
  <c r="I129" i="1" s="1"/>
  <c r="F73" i="1"/>
  <c r="I73" i="1" s="1"/>
  <c r="F70" i="1"/>
  <c r="I70" i="1" s="1"/>
  <c r="F69" i="1"/>
  <c r="I69" i="1" s="1"/>
  <c r="F64" i="1"/>
  <c r="I64" i="1" s="1"/>
  <c r="F62" i="1"/>
  <c r="I62" i="1" s="1"/>
  <c r="F55" i="1"/>
  <c r="I55" i="1" s="1"/>
  <c r="F54" i="1"/>
  <c r="I54" i="1" s="1"/>
  <c r="F53" i="1" l="1"/>
  <c r="I53" i="1" s="1"/>
  <c r="F52" i="1"/>
  <c r="I52" i="1" s="1"/>
  <c r="F51" i="1"/>
  <c r="I51" i="1" s="1"/>
  <c r="C48" i="1"/>
  <c r="F47" i="1"/>
  <c r="I47" i="1" s="1"/>
  <c r="F46" i="1"/>
  <c r="I46" i="1" s="1"/>
  <c r="F44" i="1"/>
  <c r="I44" i="1" s="1"/>
  <c r="F42" i="1"/>
  <c r="I42" i="1" s="1"/>
  <c r="F41" i="1"/>
  <c r="I41" i="1" s="1"/>
  <c r="F36" i="1"/>
  <c r="I36" i="1" s="1"/>
  <c r="F35" i="1"/>
  <c r="I35" i="1" s="1"/>
  <c r="F34" i="1"/>
  <c r="I34" i="1" s="1"/>
  <c r="C25" i="1"/>
  <c r="F15" i="1" l="1"/>
  <c r="I15" i="1" s="1"/>
  <c r="F32" i="1" l="1"/>
  <c r="I32" i="1" s="1"/>
  <c r="F31" i="1"/>
  <c r="I31" i="1" s="1"/>
  <c r="F30" i="1"/>
  <c r="I30" i="1" s="1"/>
  <c r="F12" i="1"/>
  <c r="I12" i="1" s="1"/>
  <c r="F11" i="1"/>
  <c r="I11" i="1" s="1"/>
  <c r="F8" i="1"/>
  <c r="I8" i="1" s="1"/>
  <c r="F7" i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5" authorId="0" shapeId="0" xr:uid="{F8E3F779-1F7A-4AA6-B0D7-C1CFB35DC9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жтэц отпуск актв ээ</t>
        </r>
      </text>
    </comment>
    <comment ref="B7" authorId="0" shapeId="0" xr:uid="{C245D7EE-276F-42F3-9794-B6EC6A7850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кегок</t>
        </r>
      </text>
    </comment>
    <comment ref="B13" authorId="0" shapeId="0" xr:uid="{04E40D9B-4270-4CCA-B238-5ED9F4057E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24" authorId="0" shapeId="0" xr:uid="{2510F27F-4D3B-4E75-87C6-F5A3579B512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5" authorId="0" shapeId="0" xr:uid="{4F9F4971-DB6D-4BF6-9341-79C0EC12FB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7" authorId="0" shapeId="0" xr:uid="{B44A0E11-8046-4101-ADC5-7893B2386A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9" authorId="0" shapeId="0" xr:uid="{08D54CF8-5745-4F0D-B9E9-833C26632F9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акт кегок
</t>
        </r>
      </text>
    </comment>
    <comment ref="G31" authorId="0" shapeId="0" xr:uid="{1AEEA96C-5977-4674-9839-9D907E83C2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3" authorId="0" shapeId="0" xr:uid="{8A54C4A0-1899-4428-A2CF-C31700AF5CD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5" authorId="0" shapeId="0" xr:uid="{DE6D4764-3569-497F-B5BA-39FFAE25D57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ЮЗР
</t>
        </r>
      </text>
    </comment>
    <comment ref="G36" authorId="0" shapeId="0" xr:uid="{AC1B18CA-8CB4-4B5D-B52C-06C4B79B583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сжр 
</t>
        </r>
      </text>
    </comment>
    <comment ref="G37" authorId="0" shapeId="0" xr:uid="{DCA16EB0-7D9F-42EE-92BD-17145FF07C5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юзр</t>
        </r>
      </text>
    </comment>
    <comment ref="G41" authorId="0" shapeId="0" xr:uid="{2A2689FB-7541-4FC9-8318-0E94B8BB8F14}">
      <text>
        <r>
          <rPr>
            <sz val="9"/>
            <color indexed="81"/>
            <rFont val="Tahoma"/>
            <family val="2"/>
            <charset val="204"/>
          </rPr>
          <t xml:space="preserve">жрэк
</t>
        </r>
      </text>
    </comment>
    <comment ref="G42" authorId="0" shapeId="0" xr:uid="{D44422FE-CE97-4908-8637-82754283D90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увс-2 хлораторная жрэк
</t>
        </r>
      </text>
    </comment>
    <comment ref="G43" authorId="0" shapeId="0" xr:uid="{0257A6E9-3512-4CDB-8D74-6090234471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жрэк
</t>
        </r>
      </text>
    </comment>
    <comment ref="G44" authorId="0" shapeId="0" xr:uid="{BFAB1FAE-8441-4CC3-B498-BADA8B0A47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гпп-юзр
</t>
        </r>
      </text>
    </comment>
    <comment ref="G45" authorId="0" shapeId="0" xr:uid="{2EA8842E-514A-4ECB-9500-E6BC53A12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кмз яч№19
</t>
        </r>
      </text>
    </comment>
    <comment ref="G46" authorId="0" shapeId="0" xr:uid="{4F866226-E32E-4354-9FB0-300F9EE418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жанай
</t>
        </r>
      </text>
    </comment>
    <comment ref="G4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вводные яч25
. с ЦРП-Южная
</t>
        </r>
      </text>
    </comment>
    <comment ref="B49" authorId="0" shapeId="0" xr:uid="{8C2171D5-356F-408E-B6C8-9F72ED3ACD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промбаза 1
</t>
        </r>
      </text>
    </comment>
    <comment ref="B52" authorId="0" shapeId="0" xr:uid="{23B283D7-DC72-40AD-856E-B8F19DC7EB3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уйтас айдос</t>
        </r>
      </text>
    </comment>
    <comment ref="G69" authorId="0" shapeId="0" xr:uid="{0DC0B25F-A29A-4BC9-B3E8-AAD848F6198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c 16.12.2024г демонтирован
</t>
        </r>
      </text>
    </comment>
    <comment ref="B87" authorId="0" shapeId="0" xr:uid="{A121F462-E7AF-424A-B26F-418C9BF81F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ведость жцм соф</t>
        </r>
      </text>
    </comment>
    <comment ref="B118" authorId="0" shapeId="0" xr:uid="{72221282-4D2C-4E2A-A57E-F756E98F84B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гтс</t>
        </r>
      </text>
    </comment>
    <comment ref="B119" authorId="0" shapeId="0" xr:uid="{0466BDDA-CEA4-4906-8013-404B8DCDBD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 городская</t>
        </r>
      </text>
    </comment>
    <comment ref="G124" authorId="0" shapeId="0" xr:uid="{9CAA3B72-CD90-4923-8386-D22445C165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жоф яч3 кирзавод 
</t>
        </r>
      </text>
    </comment>
    <comment ref="G129" authorId="0" shapeId="0" xr:uid="{7CD2046A-195D-485C-B55E-327D887C02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ботанический сад 
</t>
        </r>
      </text>
    </comment>
    <comment ref="G138" authorId="0" shapeId="0" xr:uid="{CBB36C3B-F069-4544-9A08-80E543EDBE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кирзавод яч9
</t>
        </r>
      </text>
    </comment>
    <comment ref="G142" authorId="0" shapeId="0" xr:uid="{56202F14-AFDF-41DB-B0C9-A02BD209330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ЦРП-НОВ-1 фидер 6кВ яч. 14 КТП-6/0,4кВ к/х Ахметов сн
</t>
        </r>
      </text>
    </comment>
    <comment ref="B143" authorId="0" shapeId="0" xr:uid="{165BE3C0-8B5F-49D0-9ABD-E334990743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цсэс
</t>
        </r>
      </text>
    </comment>
    <comment ref="G14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ГПП-Никольская яч.2,11
</t>
        </r>
      </text>
    </comment>
    <comment ref="G167" authorId="0" shapeId="0" xr:uid="{B3B181C9-6E63-4719-A336-FFA2393C8FC7}">
      <text>
        <r>
          <rPr>
            <b/>
            <sz val="9"/>
            <color indexed="81"/>
            <rFont val="Tahoma"/>
            <family val="2"/>
            <charset val="204"/>
          </rPr>
          <t xml:space="preserve">Айгерим Абенова:црп-8 яч 11
</t>
        </r>
      </text>
    </comment>
    <comment ref="G171" authorId="0" shapeId="0" xr:uid="{73A3CFA8-D06C-48C3-B0EC-845C39769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ГПП-городская яч16
</t>
        </r>
      </text>
    </comment>
    <comment ref="G175" authorId="0" shapeId="0" xr:uid="{F1FEF73C-D745-4173-AB92-6BD074D693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 огороды яч16
</t>
        </r>
      </text>
    </comment>
    <comment ref="B179" authorId="0" shapeId="0" xr:uid="{7DEF6929-F934-4F3D-994E-DE799563FD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повреждена запитаны с ЦРП-6 яч№13 химчистка и нефтабаза вместе 
</t>
        </r>
      </text>
    </comment>
  </commentList>
</comments>
</file>

<file path=xl/sharedStrings.xml><?xml version="1.0" encoding="utf-8"?>
<sst xmlns="http://schemas.openxmlformats.org/spreadsheetml/2006/main" count="202" uniqueCount="198">
  <si>
    <t>№        п.п</t>
  </si>
  <si>
    <t>Наименование</t>
  </si>
  <si>
    <t>Протяженность, км</t>
  </si>
  <si>
    <t>Сечение</t>
  </si>
  <si>
    <t>ВЛ-35кВ</t>
  </si>
  <si>
    <t>ВЛ-35кВ Златоуст-4</t>
  </si>
  <si>
    <t>ВЛ-35кВ "ПР-2Е"</t>
  </si>
  <si>
    <t>ВЛ-35кВ "Б-1"</t>
  </si>
  <si>
    <t>ВЛ-35кВ "Б-2"</t>
  </si>
  <si>
    <t>ВЛ-35кВ "Златоуст-1"</t>
  </si>
  <si>
    <t>ВЛ-35кВ "Златоуст-2"</t>
  </si>
  <si>
    <t>ВЛ-35кВ "АСК-1"</t>
  </si>
  <si>
    <t>ВЛ-35кВ "АСК-2"</t>
  </si>
  <si>
    <t>ВЛ-35кВ"73/75-1"</t>
  </si>
  <si>
    <t>ВЛ-110кВ</t>
  </si>
  <si>
    <t>ВЛ-110кВ "12С"</t>
  </si>
  <si>
    <t xml:space="preserve">ВЛ-110кВ "14С" </t>
  </si>
  <si>
    <t xml:space="preserve">ВЛ-110кВ "1С" </t>
  </si>
  <si>
    <t xml:space="preserve">ВЛ-110кВ  "3С" </t>
  </si>
  <si>
    <t xml:space="preserve">ВЛ-110кВ "5С" </t>
  </si>
  <si>
    <t>ВЛ-110кВ "7С"</t>
  </si>
  <si>
    <t>ВЛ-110кВ "ОФ-1"</t>
  </si>
  <si>
    <t>ВЛ-110кВ "ОФ-2"</t>
  </si>
  <si>
    <t xml:space="preserve">ВЛ-110кВ "67-1" </t>
  </si>
  <si>
    <t xml:space="preserve">ВЛ-110кВ "67-2" </t>
  </si>
  <si>
    <t xml:space="preserve">ВЛ-110кВ  "65-1" </t>
  </si>
  <si>
    <t xml:space="preserve">ВЛ-110 кВ"65-2" </t>
  </si>
  <si>
    <t>150</t>
  </si>
  <si>
    <t>Уровень напряжения, кВ</t>
  </si>
  <si>
    <t>Номинальная пропускная способность, МВт</t>
  </si>
  <si>
    <t xml:space="preserve"> Загрузка, МВт</t>
  </si>
  <si>
    <t>Свободная мощность, МВт</t>
  </si>
  <si>
    <t>ВЛ- 16С</t>
  </si>
  <si>
    <t>ВЛ-"Мибулак-Жомарт"</t>
  </si>
  <si>
    <t xml:space="preserve">ВЛ- 2С </t>
  </si>
  <si>
    <t>ВЛ- 4С</t>
  </si>
  <si>
    <t>ВЛ- 6С</t>
  </si>
  <si>
    <t>ВЛ- 8С</t>
  </si>
  <si>
    <t xml:space="preserve">ВЛ-35кВ "ПР-1Е" </t>
  </si>
  <si>
    <t>ВЛ-35кВ"73/75-2"</t>
  </si>
  <si>
    <t>ВЛ-35кВ"АСК-1Ю"</t>
  </si>
  <si>
    <t>ВЛ-35кВ"ПР-1Ю"</t>
  </si>
  <si>
    <t>ВЛ-35кВ ПР-2Ю</t>
  </si>
  <si>
    <t>ВЛ-35кВ Никольская 1</t>
  </si>
  <si>
    <t>ВЛ-35кВ Никольская 2</t>
  </si>
  <si>
    <t>ВЛ-35кВ УВС-1с отпайкой на ЦРП-Карабулак 1,2</t>
  </si>
  <si>
    <t>ВЛ-35кВ УВС-2</t>
  </si>
  <si>
    <t>ВЛ-35кВ УВС-3</t>
  </si>
  <si>
    <t>ВЛ-35кВ"АСК-2Ю"</t>
  </si>
  <si>
    <t>ВЛ-35кВ"АСК-2Ю"отпайка на ЦРП-Карсакпай</t>
  </si>
  <si>
    <t>ВЛ-35кВ"АСК-2Ю"отпайка на ЦРП-Жанай</t>
  </si>
  <si>
    <t>ВЛ-35кВ В-1</t>
  </si>
  <si>
    <t>ВЛ-35кВ В-2</t>
  </si>
  <si>
    <t>ВЛ-35кВ "Юго-Западный портал"</t>
  </si>
  <si>
    <t>ВЛ-35кВ 18Ц</t>
  </si>
  <si>
    <t>ВЛ-35кВ19Ц</t>
  </si>
  <si>
    <t>ВЛ-35кВ"К-1"(Вент.ств№1)</t>
  </si>
  <si>
    <t>ВЛ-35кВ"К-2"(Вент.ств№1)</t>
  </si>
  <si>
    <t>ВЛ-35кВ"Л-1"(Вент.ств№2)</t>
  </si>
  <si>
    <t>ВЛ-35кВ"Л-2"(Вент.ств№2)</t>
  </si>
  <si>
    <t>ВЛ-35кВ 17 Ц</t>
  </si>
  <si>
    <t>ВЛ-35кВ 9 Ц</t>
  </si>
  <si>
    <t>ВЛ-35кВ 10 Ц</t>
  </si>
  <si>
    <t>ВЛ-35кВ 15 Ц</t>
  </si>
  <si>
    <t>ВЛ-35кВ 16 Ц</t>
  </si>
  <si>
    <t>ВЛ-35 кВ 1 Ц</t>
  </si>
  <si>
    <t>ВЛ-35 кВ 3 Ц</t>
  </si>
  <si>
    <t>ВЛ-35 кВ 5 Ц</t>
  </si>
  <si>
    <t>ВЛ-35 кВ 11 Ц</t>
  </si>
  <si>
    <t>ВЛ-35 кВ 13 "Ц"</t>
  </si>
  <si>
    <t>ВЛ-6кВ</t>
  </si>
  <si>
    <t>ВЛ-6кВ  яч.12 ЦРП-шх.31</t>
  </si>
  <si>
    <t>ВЛ-6кВ яч.20 ЦРП-шх.31</t>
  </si>
  <si>
    <t>ВЛ-6кВ  яч.26 ЦРП-шх.31</t>
  </si>
  <si>
    <t>ВЛ-6кВ яч.17 ЦРП-шх.31</t>
  </si>
  <si>
    <t>ВЛ-6кВ  яч.5  ЦРП-ТП-5</t>
  </si>
  <si>
    <t>ВЛ-6кВ яч.6  ЦРП-ТП-5</t>
  </si>
  <si>
    <t>ВЛ-6кВ  яч.8 РП-31бис</t>
  </si>
  <si>
    <t>ВЛ-6кВ  яч.10 ЦРП-Южная</t>
  </si>
  <si>
    <t>ВЛ-6кВ  яч.24 ЦРП-Южная</t>
  </si>
  <si>
    <t>ВЛ-6кВ  яч.22 ЦРП-Южная</t>
  </si>
  <si>
    <t>ВЛ-6кВ  яч.6 ЦРП-шх.45</t>
  </si>
  <si>
    <t>ВЛ-6кВ яч.7 ЦРП-шх.55</t>
  </si>
  <si>
    <t>ВЛ-6кВ яч.16 ЦРП-шх.55</t>
  </si>
  <si>
    <t>ВЛ-6кВ яч.3 ЦРП-шх.58</t>
  </si>
  <si>
    <t>ВЛ-6кВ яч.1 ЦРП-ЮЗК</t>
  </si>
  <si>
    <t>ВЛ-6кВ яч.2 ЦРП-ЮЗК</t>
  </si>
  <si>
    <t>ВЛ-6кВ яч.35 ЦРП-ЮЗК</t>
  </si>
  <si>
    <t>ВЛ-6кВ яч.38 ЦРП-ЮЗК</t>
  </si>
  <si>
    <t>ВЛ-6кВ яч.8 ГПП-СОФ-3</t>
  </si>
  <si>
    <t>ВЛ-6кВ яч.18 ГПП-СОФ-3</t>
  </si>
  <si>
    <t>ВЛ-6кВ  яч 6 ЦРП-ВОС</t>
  </si>
  <si>
    <t>ВЛ-6кВ  яч 19 ЦРП-ВОС</t>
  </si>
  <si>
    <t>ВЛ-6кВ яч 26 ГПП-61</t>
  </si>
  <si>
    <t>ВЛ-6кВ яч 8 ГПП-61</t>
  </si>
  <si>
    <t>ВЛ-6кВ яч.4 ЖБИ</t>
  </si>
  <si>
    <t>ВЛ-6кВ яч.6 ЖБИ</t>
  </si>
  <si>
    <t>ВЛ-6кВ яч 10 ЦРП-73/75</t>
  </si>
  <si>
    <t>ВЛ-6кВ яч 26 ЦРП-73/75</t>
  </si>
  <si>
    <t>ВЛ-6кВ  яч.16 ГПП-57</t>
  </si>
  <si>
    <t>ВЛ-6кВ яч.10 ГПП-шх.67</t>
  </si>
  <si>
    <t>ВЛ-6кВ яч.32 ГПП-шх.67</t>
  </si>
  <si>
    <t>ВЛ-6кВ яч.30 ГПП-шх.67</t>
  </si>
  <si>
    <t>ВЛ-6кВ яч.1 ГПП-шх.67</t>
  </si>
  <si>
    <t>ВЛ-6кВ яч.1 КСО ЮЗР</t>
  </si>
  <si>
    <t>ВЛ-6кВ яч.14 КСО ЮЗР</t>
  </si>
  <si>
    <t>ВЛ-6кВ яч.5 ВОС</t>
  </si>
  <si>
    <t>ВЛ-6кВ  яч.2 ЦРП Жанай</t>
  </si>
  <si>
    <t>ВЛ-6кВ  яч.5 ЦРП Жанай</t>
  </si>
  <si>
    <t>ВЛ-6кВ яч.5 ЦРП-УВС-1</t>
  </si>
  <si>
    <t>ВЛ-6кВ яч.2 ЦРП-УВС-3</t>
  </si>
  <si>
    <t>ВЛ-6кВ яч.6 ЦРП-УВС-3</t>
  </si>
  <si>
    <t>ВЛ-6кВ яч 1 Вентствол</t>
  </si>
  <si>
    <t>ВЛ-6кВ яч.1 Досмагамбет</t>
  </si>
  <si>
    <t>ВЛ-6кВ ЦРП-2  яч№6  ПВЗ</t>
  </si>
  <si>
    <t>ВЛ-6кВ ГПП-Городская яч11Фек.нас№9</t>
  </si>
  <si>
    <t>ВЛ-6кВ ГПП-Городская яч20 Фек.нас№9</t>
  </si>
  <si>
    <t>ВЛ-6кВ ЦРП-5Т ПОСТ ЭЦ яч.20</t>
  </si>
  <si>
    <t>ВЛ-6кВ ЦРП-ЗКСМ "Аварийный" яч.№16</t>
  </si>
  <si>
    <t>ВЛ-6кВ ЦРП-ПНС.яч№3" Карьер"</t>
  </si>
  <si>
    <t>ВЛ-6кВ ЦРП-7 яч13 "Костен-гол-сай"</t>
  </si>
  <si>
    <t>ВЛ-6кВ ЦРП-НОВ№1 Нижний бъеф яч.11</t>
  </si>
  <si>
    <t>ВЛ-6кВ ЦРП-5Т " Индукц. котельная" яч12 "Совхоз"</t>
  </si>
  <si>
    <t>ВЛ-6кВ ЦРП-8"Шлакоотвал" яч4</t>
  </si>
  <si>
    <t>ВЛ-6кВ ЦРП-8 "Шлакоотвал" яч18</t>
  </si>
  <si>
    <t xml:space="preserve">ВЛ-6кВ ЦРП-ПНС-1 "Кирзавод" с  яч№9 </t>
  </si>
  <si>
    <t>ВЛ-6кВ ЦРП-8 яч10 "РСУ"</t>
  </si>
  <si>
    <t>ВЛ-6кВ ЦРП-НОВ№1 Пионерская дамба яч.14</t>
  </si>
  <si>
    <t>ВЛ-6кВ ЦРП-Спутник "з/о Горняк" яч №7</t>
  </si>
  <si>
    <t>ВЛ-6кВ ЦРП-НОВ№2 Кр/х-во №2,3 яч.13</t>
  </si>
  <si>
    <t>ВЛ-6кВ яч-18 ЦРП-2</t>
  </si>
  <si>
    <t>ВЛ-6кВ яч-6 ЦРП-1</t>
  </si>
  <si>
    <t>ВЛ-6кВ яч-14 ЦРП-1</t>
  </si>
  <si>
    <t>ВЛ-6кВ яч24 ЦРП-1</t>
  </si>
  <si>
    <t>ВЛ-6кВ яч19 ЦРП-1</t>
  </si>
  <si>
    <t>ВЛ-6кВ яч7 ЦРП-5</t>
  </si>
  <si>
    <t>ВЛ-6кВ яч9 ЦРП-5</t>
  </si>
  <si>
    <t>ВЛ-6кВ   до 23кв-л ЦРП-3 яч26</t>
  </si>
  <si>
    <t>ВЛ-6кВ яч10 ЦРП-1</t>
  </si>
  <si>
    <t>ВЛ-6кВ   ЦРП-3 яч27</t>
  </si>
  <si>
    <t>ВЛ-6кВ   ЦРП-3 яч22</t>
  </si>
  <si>
    <t>ВЛ-6кВ яч17 ЦРП-5</t>
  </si>
  <si>
    <t>ВЛ-6кВ яч24 ЦРП-5</t>
  </si>
  <si>
    <t>Загрузка в кВт.час</t>
  </si>
  <si>
    <t>ВЛ-6кВ яч.26 ГПП-Анненская</t>
  </si>
  <si>
    <t>ВЛ-10кВ яч.1 ГПП-Анненская</t>
  </si>
  <si>
    <t>ВЛ-6кВ яч.2 ГПП-Анненская</t>
  </si>
  <si>
    <t>ВЛ-6кВ яч.7 ГПП-Анненская</t>
  </si>
  <si>
    <t>ВЛ-6кВ яч-19 ЦРП-3 малоэтаж.ж/застр.65кв-л</t>
  </si>
  <si>
    <t>ВЛ-6кВ ИСА с ГПП-Городская яч.27</t>
  </si>
  <si>
    <t xml:space="preserve">ВЛ-6кВ от ГПП-220кВ яч.14  до бывшего ДСК  </t>
  </si>
  <si>
    <t>ВЛ-6кВ ЦРП-5Т "Развилка" яч.№18А</t>
  </si>
  <si>
    <t>ВЛ-6кВ Первомайский ЦРП-3 яч 6</t>
  </si>
  <si>
    <t>ВЛ-6кВ Объекты КМС с ЦРП-2</t>
  </si>
  <si>
    <t>ВЛ-6кВ Садовый  ЦРП-9 яч 13</t>
  </si>
  <si>
    <t>ВЛ-6кВ Рыбачий ЦРП-4 яч 28</t>
  </si>
  <si>
    <t>ВЛ-6кВ Вокзал ЦРП-6 яч 15</t>
  </si>
  <si>
    <t>ВЛ-6кВ Клубный с ЦРП-2</t>
  </si>
  <si>
    <t>ВЛ-6кВ РМЗ ЦРП-3 яч 7</t>
  </si>
  <si>
    <t>ВЛ-6кВ Старый микрорайон ЦРП-14 яч 6</t>
  </si>
  <si>
    <t>ВЛ-6кВ ДСУ -65 ЦРП-5Т яч 19</t>
  </si>
  <si>
    <t>ВЛ-6кВ ЖДЦ с ЦРП-4 яч.10</t>
  </si>
  <si>
    <t>демонтирован</t>
  </si>
  <si>
    <t xml:space="preserve">ВЛ-6кВ яч 1а ЦРП-УВС-1 </t>
  </si>
  <si>
    <t>ВЛ-6кВ яч.4 ЦРП-УВС-1 Талдысай</t>
  </si>
  <si>
    <t>ВЛ-6кВ Перемычка яч10 с ЦРП -9</t>
  </si>
  <si>
    <t>ВЛ-6кВ Общественные огороды ЦРП-4 яч16</t>
  </si>
  <si>
    <t xml:space="preserve">Начальник      ПО  ПЭС  </t>
  </si>
  <si>
    <t>Козыбаева Г.С.</t>
  </si>
  <si>
    <t>Директор ПЭС ТОО "Казахмыс Дистрибьюшн"</t>
  </si>
  <si>
    <t>Кравчук А.Н.</t>
  </si>
  <si>
    <t>исп.Абенова 2-55-38</t>
  </si>
  <si>
    <t>ВЛ-6кВ ЦРП-12 Гл.насосная яч №21(15)</t>
  </si>
  <si>
    <t>ВЛ-6кВ ЦРП-12 "Воздухоотдувка" яч25(17)</t>
  </si>
  <si>
    <t>ВЛ-35кВ ЦРП-Сары Оба</t>
  </si>
  <si>
    <t>ВЛ-6кВ ЦРП-12 "Объединенная насосная" яч23(Аэропорт)яч№16</t>
  </si>
  <si>
    <t>ВЛ-6кВ внеш/площад.сети э/снаб яч№4</t>
  </si>
  <si>
    <t>ВЛ-6кВ ЦРП-2 яч14</t>
  </si>
  <si>
    <t>ВЛ-35кВ Промбаза-1</t>
  </si>
  <si>
    <t>ВЛ-35кВ Промбаза-2</t>
  </si>
  <si>
    <t>ВЛ-6кВ Роддом яч17 ЦРП-9</t>
  </si>
  <si>
    <t>ВЛ-6кВ Совхоз яч№4 ЦРП-Мясокомбинат</t>
  </si>
  <si>
    <t>ВЛ-6кВ Казахстан ЦРП-2</t>
  </si>
  <si>
    <t>ВЛ-6кВ АТС яч№8 ЦРП-4</t>
  </si>
  <si>
    <t>ВЛ-6кВ Совхоз яч№12 ЦРП-5Т</t>
  </si>
  <si>
    <t>ВЛ-6кВ Нефтебаза яч№12 ЦРП-8</t>
  </si>
  <si>
    <t>ВЛ-6кВ Химчистка ЦРП-6 яч№13</t>
  </si>
  <si>
    <t xml:space="preserve">ВЛ-6кВ ТП-92 кв-л КТП-Индивидуалка </t>
  </si>
  <si>
    <t>ВЛ-6кВ ЦРП-12яч8"Объед.насосная"</t>
  </si>
  <si>
    <t xml:space="preserve">ВЛ-6кВ ЦРП-12 яч7"Шлакоотвал" </t>
  </si>
  <si>
    <t>ВЛ-6кВ ЦРП-12 "Воздухоотдувка" яч4</t>
  </si>
  <si>
    <t>ВЛ-6кВ ЦРП-12 Гл.насосная яч№3</t>
  </si>
  <si>
    <t>ВЛ-6кВ ЦРП-4 яч24 "Костен-гол-сай"</t>
  </si>
  <si>
    <t>ВЛ-6кВ №2 от ГПП-220кВ</t>
  </si>
  <si>
    <t>ВЛ-6кВ №11 от ГПП-220кВ</t>
  </si>
  <si>
    <t>ВЛ-6кВ ЦРП-8 яч№11 Строитель</t>
  </si>
  <si>
    <t>ВЛ-6кВ Перемычка ЦРП-2</t>
  </si>
  <si>
    <t xml:space="preserve">                              Данные по существующим  ВЛ-110, 35, 6 кВ  ПЭС за май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</si>
</sst>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/>
    <xf numFmtId="0" fontId="6" fillId="0" borderId="0" xfId="1" applyFont="1"/>
    <xf numFmtId="0" fontId="8" fillId="0" borderId="0" xfId="1" applyFont="1"/>
    <xf numFmtId="0" fontId="8" fillId="0" borderId="0" xfId="0" applyFont="1"/>
    <xf numFmtId="165" fontId="5" fillId="2" borderId="3" xfId="0" applyNumberFormat="1" applyFont="1" applyFill="1" applyBorder="1" applyAlignment="1">
      <alignment horizontal="center"/>
    </xf>
    <xf numFmtId="3" fontId="11" fillId="2" borderId="3" xfId="2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3" fontId="5" fillId="2" borderId="3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distributed"/>
    </xf>
    <xf numFmtId="0" fontId="5" fillId="2" borderId="3" xfId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4" xfId="1" applyFont="1" applyFill="1" applyBorder="1"/>
    <xf numFmtId="0" fontId="6" fillId="2" borderId="0" xfId="0" applyFont="1" applyFill="1" applyAlignment="1">
      <alignment horizontal="center"/>
    </xf>
    <xf numFmtId="0" fontId="3" fillId="2" borderId="0" xfId="1" applyFont="1" applyFill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wrapText="1"/>
    </xf>
    <xf numFmtId="165" fontId="5" fillId="2" borderId="3" xfId="1" applyNumberFormat="1" applyFont="1" applyFill="1" applyBorder="1"/>
    <xf numFmtId="0" fontId="6" fillId="2" borderId="3" xfId="1" applyFont="1" applyFill="1" applyBorder="1"/>
    <xf numFmtId="2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1" fillId="2" borderId="3" xfId="3" applyFont="1" applyFill="1" applyBorder="1" applyAlignment="1">
      <alignment horizontal="center"/>
    </xf>
    <xf numFmtId="164" fontId="11" fillId="2" borderId="3" xfId="3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11" fillId="2" borderId="3" xfId="3" applyNumberFormat="1" applyFont="1" applyFill="1" applyBorder="1" applyAlignment="1">
      <alignment horizontal="center"/>
    </xf>
    <xf numFmtId="2" fontId="11" fillId="2" borderId="3" xfId="3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0" xfId="0" applyFont="1" applyFill="1"/>
    <xf numFmtId="0" fontId="11" fillId="2" borderId="3" xfId="3" applyFont="1" applyFill="1" applyBorder="1" applyAlignment="1">
      <alignment horizontal="left" wrapText="1"/>
    </xf>
    <xf numFmtId="0" fontId="11" fillId="2" borderId="3" xfId="3" applyFont="1" applyFill="1" applyBorder="1"/>
    <xf numFmtId="0" fontId="11" fillId="2" borderId="3" xfId="0" applyFont="1" applyFill="1" applyBorder="1"/>
    <xf numFmtId="0" fontId="11" fillId="2" borderId="3" xfId="2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wrapText="1"/>
    </xf>
    <xf numFmtId="3" fontId="5" fillId="2" borderId="3" xfId="1" applyNumberFormat="1" applyFont="1" applyFill="1" applyBorder="1"/>
    <xf numFmtId="0" fontId="11" fillId="2" borderId="3" xfId="0" applyFont="1" applyFill="1" applyBorder="1" applyAlignment="1">
      <alignment wrapText="1"/>
    </xf>
    <xf numFmtId="165" fontId="6" fillId="0" borderId="0" xfId="1" applyNumberFormat="1" applyFont="1"/>
    <xf numFmtId="0" fontId="11" fillId="2" borderId="3" xfId="0" applyFont="1" applyFill="1" applyBorder="1" applyAlignment="1">
      <alignment horizontal="left" wrapText="1"/>
    </xf>
    <xf numFmtId="3" fontId="5" fillId="2" borderId="3" xfId="1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3" fontId="6" fillId="2" borderId="4" xfId="1" applyNumberFormat="1" applyFont="1" applyFill="1" applyBorder="1"/>
    <xf numFmtId="0" fontId="10" fillId="2" borderId="3" xfId="1" applyFont="1" applyFill="1" applyBorder="1" applyAlignment="1">
      <alignment horizontal="center" vertical="center"/>
    </xf>
    <xf numFmtId="167" fontId="5" fillId="2" borderId="3" xfId="0" applyNumberFormat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vertical="top" wrapText="1"/>
    </xf>
    <xf numFmtId="0" fontId="6" fillId="2" borderId="3" xfId="1" applyFont="1" applyFill="1" applyBorder="1" applyAlignment="1">
      <alignment horizontal="center"/>
    </xf>
    <xf numFmtId="0" fontId="11" fillId="2" borderId="3" xfId="3" applyFont="1" applyFill="1" applyBorder="1" applyAlignment="1">
      <alignment vertical="top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9" fillId="2" borderId="3" xfId="3" applyFont="1" applyFill="1" applyBorder="1" applyAlignment="1">
      <alignment horizontal="center"/>
    </xf>
    <xf numFmtId="167" fontId="6" fillId="2" borderId="3" xfId="0" applyNumberFormat="1" applyFont="1" applyFill="1" applyBorder="1"/>
    <xf numFmtId="0" fontId="11" fillId="2" borderId="3" xfId="2" applyFont="1" applyFill="1" applyBorder="1"/>
    <xf numFmtId="3" fontId="5" fillId="2" borderId="0" xfId="0" applyNumberFormat="1" applyFont="1" applyFill="1" applyAlignment="1">
      <alignment horizontal="center"/>
    </xf>
    <xf numFmtId="0" fontId="16" fillId="2" borderId="0" xfId="0" applyFont="1" applyFill="1"/>
    <xf numFmtId="0" fontId="6" fillId="2" borderId="0" xfId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2" fontId="5" fillId="2" borderId="0" xfId="1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12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2"/>
  <sheetViews>
    <sheetView tabSelected="1" zoomScale="106" zoomScaleNormal="106" workbookViewId="0">
      <pane ySplit="3" topLeftCell="A4" activePane="bottomLeft" state="frozen"/>
      <selection pane="bottomLeft" activeCell="J15" sqref="J15"/>
    </sheetView>
  </sheetViews>
  <sheetFormatPr defaultColWidth="9.140625" defaultRowHeight="15.75" x14ac:dyDescent="0.25"/>
  <cols>
    <col min="1" max="1" width="7.140625" style="44" customWidth="1"/>
    <col min="2" max="2" width="45.7109375" style="44" customWidth="1"/>
    <col min="3" max="3" width="14.85546875" style="44" customWidth="1"/>
    <col min="4" max="4" width="12.7109375" style="16" customWidth="1"/>
    <col min="5" max="5" width="11.85546875" style="16" customWidth="1"/>
    <col min="6" max="8" width="14.85546875" style="16" customWidth="1"/>
    <col min="9" max="9" width="12.140625" style="72" customWidth="1"/>
    <col min="10" max="12" width="13.42578125" style="3" customWidth="1"/>
    <col min="13" max="16384" width="9.140625" style="3"/>
  </cols>
  <sheetData>
    <row r="1" spans="1:25" ht="33.75" customHeight="1" x14ac:dyDescent="0.25">
      <c r="A1" s="85" t="s">
        <v>197</v>
      </c>
      <c r="B1" s="86"/>
      <c r="C1" s="86"/>
      <c r="D1" s="86"/>
      <c r="E1" s="86"/>
      <c r="F1" s="86"/>
      <c r="G1" s="86"/>
      <c r="H1" s="17"/>
      <c r="I1" s="17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75" x14ac:dyDescent="0.25">
      <c r="A2" s="83"/>
      <c r="B2" s="84"/>
      <c r="C2" s="84"/>
      <c r="D2" s="84"/>
      <c r="E2" s="84"/>
      <c r="F2" s="84"/>
      <c r="G2" s="84"/>
      <c r="H2" s="84"/>
      <c r="I2" s="84"/>
      <c r="J2" s="4"/>
      <c r="K2" s="4"/>
      <c r="L2" s="4"/>
      <c r="M2" s="4"/>
      <c r="N2" s="4"/>
    </row>
    <row r="3" spans="1:25" s="6" customFormat="1" ht="81.7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28</v>
      </c>
      <c r="F3" s="14" t="s">
        <v>29</v>
      </c>
      <c r="G3" s="14" t="s">
        <v>143</v>
      </c>
      <c r="H3" s="18" t="s">
        <v>30</v>
      </c>
      <c r="I3" s="18" t="s">
        <v>31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" x14ac:dyDescent="0.25">
      <c r="A4" s="28"/>
      <c r="B4" s="59" t="s">
        <v>14</v>
      </c>
      <c r="C4" s="28"/>
      <c r="D4" s="15"/>
      <c r="E4" s="15"/>
      <c r="F4" s="15"/>
      <c r="G4" s="15"/>
      <c r="H4" s="15"/>
      <c r="I4" s="6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5" x14ac:dyDescent="0.25">
      <c r="A5" s="61">
        <v>1</v>
      </c>
      <c r="B5" s="46" t="s">
        <v>15</v>
      </c>
      <c r="C5" s="12">
        <v>30.753</v>
      </c>
      <c r="D5" s="29">
        <v>120</v>
      </c>
      <c r="E5" s="29">
        <v>110</v>
      </c>
      <c r="F5" s="19">
        <f>375*1.73*110*0.8/1000</f>
        <v>57.09</v>
      </c>
      <c r="G5" s="53">
        <v>271550</v>
      </c>
      <c r="H5" s="19">
        <f>G5/744/1000</f>
        <v>0.36498655913978495</v>
      </c>
      <c r="I5" s="62">
        <f>(F5-H5)*0.6</f>
        <v>34.035008064516127</v>
      </c>
      <c r="J5" s="5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5" x14ac:dyDescent="0.25">
      <c r="A6" s="61">
        <v>2</v>
      </c>
      <c r="B6" s="46" t="s">
        <v>16</v>
      </c>
      <c r="C6" s="12">
        <v>8.6999999999999993</v>
      </c>
      <c r="D6" s="29">
        <v>120</v>
      </c>
      <c r="E6" s="29">
        <v>110</v>
      </c>
      <c r="F6" s="19">
        <f>375*1.73*110*0.8/1000</f>
        <v>57.09</v>
      </c>
      <c r="G6" s="53">
        <v>225720</v>
      </c>
      <c r="H6" s="19">
        <f t="shared" ref="H6:H69" si="0">G6/744/1000</f>
        <v>0.30338709677419351</v>
      </c>
      <c r="I6" s="62">
        <f t="shared" ref="I6:I22" si="1">(F6-H6)*0.6</f>
        <v>34.071967741935481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5" x14ac:dyDescent="0.25">
      <c r="A7" s="61">
        <v>3</v>
      </c>
      <c r="B7" s="46" t="s">
        <v>17</v>
      </c>
      <c r="C7" s="30">
        <v>3.64</v>
      </c>
      <c r="D7" s="11" t="s">
        <v>27</v>
      </c>
      <c r="E7" s="29">
        <v>110</v>
      </c>
      <c r="F7" s="19">
        <f t="shared" ref="F7:F10" si="2">440*1.73*110*0.8/1000</f>
        <v>66.985600000000005</v>
      </c>
      <c r="G7" s="53">
        <v>6452396</v>
      </c>
      <c r="H7" s="19">
        <f t="shared" si="0"/>
        <v>8.6725752688172051</v>
      </c>
      <c r="I7" s="62">
        <f t="shared" si="1"/>
        <v>34.987814838709681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" x14ac:dyDescent="0.25">
      <c r="A8" s="61">
        <v>4</v>
      </c>
      <c r="B8" s="46" t="s">
        <v>18</v>
      </c>
      <c r="C8" s="30">
        <v>3.64</v>
      </c>
      <c r="D8" s="11" t="s">
        <v>27</v>
      </c>
      <c r="E8" s="29">
        <v>110</v>
      </c>
      <c r="F8" s="19">
        <f t="shared" si="2"/>
        <v>66.985600000000005</v>
      </c>
      <c r="G8" s="53">
        <v>6150741</v>
      </c>
      <c r="H8" s="19">
        <f t="shared" si="0"/>
        <v>8.2671250000000001</v>
      </c>
      <c r="I8" s="62">
        <f t="shared" si="1"/>
        <v>35.231085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5" x14ac:dyDescent="0.25">
      <c r="A9" s="61">
        <v>5</v>
      </c>
      <c r="B9" s="46" t="s">
        <v>19</v>
      </c>
      <c r="C9" s="52">
        <v>11</v>
      </c>
      <c r="D9" s="11">
        <v>150</v>
      </c>
      <c r="E9" s="29">
        <v>110</v>
      </c>
      <c r="F9" s="19">
        <f t="shared" si="2"/>
        <v>66.985600000000005</v>
      </c>
      <c r="G9" s="53">
        <v>8077115</v>
      </c>
      <c r="H9" s="19">
        <f t="shared" si="0"/>
        <v>10.856337365591399</v>
      </c>
      <c r="I9" s="62">
        <f>(F9-H9)*0.6</f>
        <v>33.677557580645164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5" x14ac:dyDescent="0.25">
      <c r="A10" s="61">
        <v>6</v>
      </c>
      <c r="B10" s="46" t="s">
        <v>20</v>
      </c>
      <c r="C10" s="12">
        <v>11</v>
      </c>
      <c r="D10" s="11">
        <v>150</v>
      </c>
      <c r="E10" s="29">
        <v>110</v>
      </c>
      <c r="F10" s="19">
        <f t="shared" si="2"/>
        <v>66.985600000000005</v>
      </c>
      <c r="G10" s="53">
        <v>7889186</v>
      </c>
      <c r="H10" s="19">
        <f t="shared" si="0"/>
        <v>10.603744623655913</v>
      </c>
      <c r="I10" s="62">
        <f t="shared" si="1"/>
        <v>33.829113225806452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5" x14ac:dyDescent="0.25">
      <c r="A11" s="61">
        <v>7</v>
      </c>
      <c r="B11" s="46" t="s">
        <v>21</v>
      </c>
      <c r="C11" s="30">
        <v>1.96</v>
      </c>
      <c r="D11" s="11" t="s">
        <v>27</v>
      </c>
      <c r="E11" s="29">
        <v>110</v>
      </c>
      <c r="F11" s="19">
        <f>385*1.73*110*0.8/1000</f>
        <v>58.612400000000001</v>
      </c>
      <c r="G11" s="53">
        <v>1216913</v>
      </c>
      <c r="H11" s="19">
        <f t="shared" si="0"/>
        <v>1.635635752688172</v>
      </c>
      <c r="I11" s="62">
        <f t="shared" si="1"/>
        <v>34.186058548387095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x14ac:dyDescent="0.25">
      <c r="A12" s="61">
        <v>8</v>
      </c>
      <c r="B12" s="46" t="s">
        <v>22</v>
      </c>
      <c r="C12" s="30">
        <v>5.8</v>
      </c>
      <c r="D12" s="11" t="s">
        <v>27</v>
      </c>
      <c r="E12" s="29">
        <v>110</v>
      </c>
      <c r="F12" s="19">
        <f>385*1.73*110*0.8/1000</f>
        <v>58.612400000000001</v>
      </c>
      <c r="G12" s="53">
        <v>1910538</v>
      </c>
      <c r="H12" s="19">
        <f t="shared" si="0"/>
        <v>2.5679274193548385</v>
      </c>
      <c r="I12" s="62">
        <f t="shared" si="1"/>
        <v>33.626683548387099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5" x14ac:dyDescent="0.25">
      <c r="A13" s="61">
        <v>9</v>
      </c>
      <c r="B13" s="46" t="s">
        <v>23</v>
      </c>
      <c r="C13" s="12">
        <v>2.6539999999999999</v>
      </c>
      <c r="D13" s="11">
        <v>70</v>
      </c>
      <c r="E13" s="29">
        <v>110</v>
      </c>
      <c r="F13" s="19">
        <f>265*1.73*110*0.8/1000</f>
        <v>40.343600000000009</v>
      </c>
      <c r="G13" s="53">
        <v>1453760</v>
      </c>
      <c r="H13" s="19">
        <f t="shared" si="0"/>
        <v>1.953978494623656</v>
      </c>
      <c r="I13" s="62">
        <f t="shared" si="1"/>
        <v>23.033772903225813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5" x14ac:dyDescent="0.25">
      <c r="A14" s="61">
        <v>10</v>
      </c>
      <c r="B14" s="46" t="s">
        <v>24</v>
      </c>
      <c r="C14" s="12">
        <v>2.6539999999999999</v>
      </c>
      <c r="D14" s="11">
        <v>70</v>
      </c>
      <c r="E14" s="29">
        <v>110</v>
      </c>
      <c r="F14" s="19">
        <f>265*1.73*110*0.8/1000</f>
        <v>40.343600000000009</v>
      </c>
      <c r="G14" s="53">
        <v>1387760</v>
      </c>
      <c r="H14" s="19">
        <f t="shared" si="0"/>
        <v>1.865268817204301</v>
      </c>
      <c r="I14" s="62">
        <f t="shared" si="1"/>
        <v>23.086998709677424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5" x14ac:dyDescent="0.25">
      <c r="A15" s="61">
        <v>11</v>
      </c>
      <c r="B15" s="46" t="s">
        <v>25</v>
      </c>
      <c r="C15" s="12">
        <v>6.83</v>
      </c>
      <c r="D15" s="11">
        <v>120</v>
      </c>
      <c r="E15" s="29">
        <v>110</v>
      </c>
      <c r="F15" s="19">
        <f>385*1.73*110*0.8/1000</f>
        <v>58.612400000000001</v>
      </c>
      <c r="G15" s="53">
        <v>2554235</v>
      </c>
      <c r="H15" s="19">
        <f t="shared" si="0"/>
        <v>3.4331115591397849</v>
      </c>
      <c r="I15" s="62">
        <f t="shared" si="1"/>
        <v>33.107573064516131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5" x14ac:dyDescent="0.25">
      <c r="A16" s="61">
        <v>12</v>
      </c>
      <c r="B16" s="46" t="s">
        <v>26</v>
      </c>
      <c r="C16" s="12">
        <v>6.83</v>
      </c>
      <c r="D16" s="11">
        <v>150</v>
      </c>
      <c r="E16" s="29">
        <v>110</v>
      </c>
      <c r="F16" s="19">
        <f>385*1.73*110*0.8/1000</f>
        <v>58.612400000000001</v>
      </c>
      <c r="G16" s="53">
        <v>4054494</v>
      </c>
      <c r="H16" s="19">
        <f t="shared" si="0"/>
        <v>5.4495887096774194</v>
      </c>
      <c r="I16" s="62">
        <f t="shared" si="1"/>
        <v>31.897686774193545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61">
        <v>13</v>
      </c>
      <c r="B17" s="47" t="s">
        <v>32</v>
      </c>
      <c r="C17" s="31">
        <v>155.4</v>
      </c>
      <c r="D17" s="32">
        <v>120</v>
      </c>
      <c r="E17" s="29">
        <v>110</v>
      </c>
      <c r="F17" s="19">
        <f>385*1.73*110*0.64/1000</f>
        <v>46.889919999999996</v>
      </c>
      <c r="G17" s="53">
        <v>2448072</v>
      </c>
      <c r="H17" s="19">
        <f t="shared" si="0"/>
        <v>3.29041935483871</v>
      </c>
      <c r="I17" s="62">
        <f t="shared" si="1"/>
        <v>26.15970038709677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61">
        <v>14</v>
      </c>
      <c r="B18" s="47" t="s">
        <v>33</v>
      </c>
      <c r="C18" s="33">
        <v>57</v>
      </c>
      <c r="D18" s="32">
        <v>95</v>
      </c>
      <c r="E18" s="29">
        <v>110</v>
      </c>
      <c r="F18" s="19">
        <f>330*1.73*110*0.7/1000</f>
        <v>43.959299999999999</v>
      </c>
      <c r="G18" s="53">
        <v>2170991</v>
      </c>
      <c r="H18" s="19">
        <f t="shared" si="0"/>
        <v>2.9179986559139786</v>
      </c>
      <c r="I18" s="62">
        <f t="shared" si="1"/>
        <v>24.624780806451614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61">
        <v>15</v>
      </c>
      <c r="B19" s="47" t="s">
        <v>34</v>
      </c>
      <c r="C19" s="31">
        <v>2.8</v>
      </c>
      <c r="D19" s="32">
        <v>300</v>
      </c>
      <c r="E19" s="29">
        <v>110</v>
      </c>
      <c r="F19" s="19">
        <f>585*1.73*110*0.64/1000</f>
        <v>71.248320000000007</v>
      </c>
      <c r="G19" s="53">
        <v>7766352</v>
      </c>
      <c r="H19" s="19">
        <f t="shared" si="0"/>
        <v>10.438645161290323</v>
      </c>
      <c r="I19" s="62">
        <f t="shared" si="1"/>
        <v>36.485804903225805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61">
        <v>16</v>
      </c>
      <c r="B20" s="47" t="s">
        <v>35</v>
      </c>
      <c r="C20" s="31">
        <v>2.8</v>
      </c>
      <c r="D20" s="32">
        <v>300</v>
      </c>
      <c r="E20" s="29">
        <v>110</v>
      </c>
      <c r="F20" s="19">
        <f t="shared" ref="F20:F22" si="3">585*1.73*110*0.64/1000</f>
        <v>71.248320000000007</v>
      </c>
      <c r="G20" s="53">
        <v>9452494</v>
      </c>
      <c r="H20" s="19">
        <f t="shared" si="0"/>
        <v>12.704965053763441</v>
      </c>
      <c r="I20" s="62">
        <f t="shared" si="1"/>
        <v>35.126012967741936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61">
        <v>17</v>
      </c>
      <c r="B21" s="47" t="s">
        <v>36</v>
      </c>
      <c r="C21" s="31">
        <v>3.2</v>
      </c>
      <c r="D21" s="32">
        <v>300</v>
      </c>
      <c r="E21" s="29">
        <v>110</v>
      </c>
      <c r="F21" s="19">
        <f t="shared" si="3"/>
        <v>71.248320000000007</v>
      </c>
      <c r="G21" s="53">
        <v>9679217</v>
      </c>
      <c r="H21" s="19">
        <f t="shared" si="0"/>
        <v>13.009700268817205</v>
      </c>
      <c r="I21" s="62">
        <f t="shared" si="1"/>
        <v>34.943171838709681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61">
        <v>18</v>
      </c>
      <c r="B22" s="47" t="s">
        <v>37</v>
      </c>
      <c r="C22" s="31">
        <v>3.2</v>
      </c>
      <c r="D22" s="32">
        <v>300</v>
      </c>
      <c r="E22" s="29">
        <v>110</v>
      </c>
      <c r="F22" s="19">
        <f t="shared" si="3"/>
        <v>71.248320000000007</v>
      </c>
      <c r="G22" s="53">
        <v>14057921</v>
      </c>
      <c r="H22" s="19">
        <f t="shared" si="0"/>
        <v>18.895055107526883</v>
      </c>
      <c r="I22" s="62">
        <f t="shared" si="1"/>
        <v>31.41195893548387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61"/>
      <c r="B23" s="34" t="s">
        <v>4</v>
      </c>
      <c r="C23" s="34"/>
      <c r="D23" s="12"/>
      <c r="E23" s="12"/>
      <c r="F23" s="19"/>
      <c r="G23" s="53"/>
      <c r="H23" s="12"/>
      <c r="I23" s="5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61">
        <v>19</v>
      </c>
      <c r="B24" s="63" t="s">
        <v>5</v>
      </c>
      <c r="C24" s="35">
        <v>4.5250000000000004</v>
      </c>
      <c r="D24" s="12">
        <v>70</v>
      </c>
      <c r="E24" s="12">
        <v>35</v>
      </c>
      <c r="F24" s="19">
        <v>13</v>
      </c>
      <c r="G24" s="53">
        <v>65800</v>
      </c>
      <c r="H24" s="20">
        <f t="shared" si="0"/>
        <v>8.8440860215053763E-2</v>
      </c>
      <c r="I24" s="62">
        <f t="shared" ref="I24:I67" si="4">(F24-H24)*0.6</f>
        <v>7.7469354838709679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64">
        <v>20</v>
      </c>
      <c r="B25" s="46" t="s">
        <v>38</v>
      </c>
      <c r="C25" s="36">
        <f>3.07+3.6</f>
        <v>6.67</v>
      </c>
      <c r="D25" s="37">
        <v>50</v>
      </c>
      <c r="E25" s="38">
        <v>35</v>
      </c>
      <c r="F25" s="7">
        <f>210*1.73*35*0.8/1000</f>
        <v>10.172400000000001</v>
      </c>
      <c r="G25" s="58">
        <f>13440+732760</f>
        <v>746200</v>
      </c>
      <c r="H25" s="13">
        <f t="shared" si="0"/>
        <v>1.0029569892473118</v>
      </c>
      <c r="I25" s="62">
        <f t="shared" si="4"/>
        <v>5.501665806451614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61">
        <v>21</v>
      </c>
      <c r="B26" s="46" t="s">
        <v>6</v>
      </c>
      <c r="C26" s="36">
        <v>1.6</v>
      </c>
      <c r="D26" s="12">
        <v>50</v>
      </c>
      <c r="E26" s="12">
        <v>35</v>
      </c>
      <c r="F26" s="19">
        <v>11</v>
      </c>
      <c r="G26" s="53">
        <v>126280</v>
      </c>
      <c r="H26" s="20">
        <f t="shared" si="0"/>
        <v>0.1697311827956989</v>
      </c>
      <c r="I26" s="62">
        <f t="shared" si="4"/>
        <v>6.4981612903225807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64">
        <v>22</v>
      </c>
      <c r="B27" s="65" t="s">
        <v>7</v>
      </c>
      <c r="C27" s="35">
        <v>3.2</v>
      </c>
      <c r="D27" s="12">
        <v>120</v>
      </c>
      <c r="E27" s="12">
        <v>35</v>
      </c>
      <c r="F27" s="19">
        <v>15</v>
      </c>
      <c r="G27" s="53">
        <v>0</v>
      </c>
      <c r="H27" s="20">
        <f t="shared" si="0"/>
        <v>0</v>
      </c>
      <c r="I27" s="62">
        <f t="shared" si="4"/>
        <v>9</v>
      </c>
    </row>
    <row r="28" spans="1:23" x14ac:dyDescent="0.25">
      <c r="A28" s="61">
        <v>23</v>
      </c>
      <c r="B28" s="65" t="s">
        <v>8</v>
      </c>
      <c r="C28" s="35">
        <v>3.2</v>
      </c>
      <c r="D28" s="12">
        <v>120</v>
      </c>
      <c r="E28" s="12">
        <v>35</v>
      </c>
      <c r="F28" s="19">
        <v>15</v>
      </c>
      <c r="G28" s="53">
        <v>168000</v>
      </c>
      <c r="H28" s="20">
        <f t="shared" si="0"/>
        <v>0.22580645161290322</v>
      </c>
      <c r="I28" s="62">
        <f t="shared" si="4"/>
        <v>8.8645161290322569</v>
      </c>
    </row>
    <row r="29" spans="1:23" x14ac:dyDescent="0.25">
      <c r="A29" s="64">
        <v>24</v>
      </c>
      <c r="B29" s="63" t="s">
        <v>9</v>
      </c>
      <c r="C29" s="35">
        <v>44.31</v>
      </c>
      <c r="D29" s="12">
        <v>70</v>
      </c>
      <c r="E29" s="12">
        <v>35</v>
      </c>
      <c r="F29" s="66">
        <v>13</v>
      </c>
      <c r="G29" s="58">
        <v>2559936</v>
      </c>
      <c r="H29" s="13">
        <f t="shared" si="0"/>
        <v>3.4407741935483873</v>
      </c>
      <c r="I29" s="62">
        <f t="shared" si="4"/>
        <v>5.7355354838709678</v>
      </c>
    </row>
    <row r="30" spans="1:23" x14ac:dyDescent="0.25">
      <c r="A30" s="61">
        <v>25</v>
      </c>
      <c r="B30" s="63" t="s">
        <v>10</v>
      </c>
      <c r="C30" s="35">
        <v>34.68</v>
      </c>
      <c r="D30" s="12">
        <v>70</v>
      </c>
      <c r="E30" s="12">
        <v>35</v>
      </c>
      <c r="F30" s="7">
        <f>270*1.73*35*0.8/1000</f>
        <v>13.078800000000001</v>
      </c>
      <c r="G30" s="26">
        <v>1303612</v>
      </c>
      <c r="H30" s="20">
        <f t="shared" si="0"/>
        <v>1.7521666666666667</v>
      </c>
      <c r="I30" s="62">
        <f t="shared" si="4"/>
        <v>6.7959800000000001</v>
      </c>
    </row>
    <row r="31" spans="1:23" x14ac:dyDescent="0.25">
      <c r="A31" s="64">
        <v>26</v>
      </c>
      <c r="B31" s="46" t="s">
        <v>11</v>
      </c>
      <c r="C31" s="35">
        <v>6.8</v>
      </c>
      <c r="D31" s="12">
        <v>95</v>
      </c>
      <c r="E31" s="12">
        <v>35</v>
      </c>
      <c r="F31" s="7">
        <f>325*1.73*35*0.8/1000</f>
        <v>15.743</v>
      </c>
      <c r="G31" s="26">
        <v>419160</v>
      </c>
      <c r="H31" s="20">
        <f t="shared" si="0"/>
        <v>0.56338709677419352</v>
      </c>
      <c r="I31" s="62">
        <f t="shared" si="4"/>
        <v>9.1077677419354846</v>
      </c>
    </row>
    <row r="32" spans="1:23" x14ac:dyDescent="0.25">
      <c r="A32" s="61">
        <v>27</v>
      </c>
      <c r="B32" s="46" t="s">
        <v>12</v>
      </c>
      <c r="C32" s="35">
        <v>6.8</v>
      </c>
      <c r="D32" s="12">
        <v>95</v>
      </c>
      <c r="E32" s="12">
        <v>35</v>
      </c>
      <c r="F32" s="7">
        <f>325*1.73*35*0.8/1000</f>
        <v>15.743</v>
      </c>
      <c r="G32" s="26">
        <v>1507590</v>
      </c>
      <c r="H32" s="20">
        <f t="shared" si="0"/>
        <v>2.0263306451612904</v>
      </c>
      <c r="I32" s="62">
        <f t="shared" si="4"/>
        <v>8.2300016129032265</v>
      </c>
    </row>
    <row r="33" spans="1:23" x14ac:dyDescent="0.25">
      <c r="A33" s="64">
        <v>28</v>
      </c>
      <c r="B33" s="46" t="s">
        <v>13</v>
      </c>
      <c r="C33" s="35">
        <v>2.08</v>
      </c>
      <c r="D33" s="12">
        <v>95</v>
      </c>
      <c r="E33" s="12">
        <v>35</v>
      </c>
      <c r="F33" s="7">
        <v>15</v>
      </c>
      <c r="G33" s="26">
        <v>1393140</v>
      </c>
      <c r="H33" s="13">
        <f t="shared" si="0"/>
        <v>1.8725000000000001</v>
      </c>
      <c r="I33" s="62">
        <f t="shared" si="4"/>
        <v>7.8764999999999992</v>
      </c>
    </row>
    <row r="34" spans="1:23" x14ac:dyDescent="0.25">
      <c r="A34" s="61">
        <v>29</v>
      </c>
      <c r="B34" s="46" t="s">
        <v>39</v>
      </c>
      <c r="C34" s="35">
        <v>2.08</v>
      </c>
      <c r="D34" s="37">
        <v>95</v>
      </c>
      <c r="E34" s="12">
        <v>35</v>
      </c>
      <c r="F34" s="7">
        <f t="shared" ref="F34" si="5">325*1.73*35*0.8/1000</f>
        <v>15.743</v>
      </c>
      <c r="G34" s="26">
        <v>2250360</v>
      </c>
      <c r="H34" s="20">
        <f t="shared" si="0"/>
        <v>3.0246774193548385</v>
      </c>
      <c r="I34" s="62">
        <f t="shared" si="4"/>
        <v>7.6309935483870959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61">
        <v>31</v>
      </c>
      <c r="B35" s="46" t="s">
        <v>40</v>
      </c>
      <c r="C35" s="39">
        <v>2.2000000000000002</v>
      </c>
      <c r="D35" s="37">
        <v>95</v>
      </c>
      <c r="E35" s="12">
        <v>35</v>
      </c>
      <c r="F35" s="7">
        <f>325*1.73*35*0.8/1000</f>
        <v>15.743</v>
      </c>
      <c r="G35" s="26">
        <v>0</v>
      </c>
      <c r="H35" s="20">
        <f t="shared" si="0"/>
        <v>0</v>
      </c>
      <c r="I35" s="62">
        <f t="shared" si="4"/>
        <v>9.4458000000000002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64">
        <v>32</v>
      </c>
      <c r="B36" s="46" t="s">
        <v>174</v>
      </c>
      <c r="C36" s="36">
        <v>4.32</v>
      </c>
      <c r="D36" s="37">
        <v>70</v>
      </c>
      <c r="E36" s="12">
        <v>35</v>
      </c>
      <c r="F36" s="7">
        <f>270*1.73*35*0.8/1000</f>
        <v>13.078800000000001</v>
      </c>
      <c r="G36" s="26">
        <v>157824</v>
      </c>
      <c r="H36" s="13">
        <f t="shared" si="0"/>
        <v>0.21212903225806451</v>
      </c>
      <c r="I36" s="62">
        <f t="shared" si="4"/>
        <v>7.7200025806451622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61">
        <v>33</v>
      </c>
      <c r="B37" s="46" t="s">
        <v>41</v>
      </c>
      <c r="C37" s="40">
        <v>11.2</v>
      </c>
      <c r="D37" s="37">
        <v>120</v>
      </c>
      <c r="E37" s="12">
        <v>35</v>
      </c>
      <c r="F37" s="7">
        <f>385*1.73*35*0.7/1000</f>
        <v>16.318224999999998</v>
      </c>
      <c r="G37" s="26">
        <v>685860</v>
      </c>
      <c r="H37" s="20">
        <f t="shared" si="0"/>
        <v>0.92185483870967744</v>
      </c>
      <c r="I37" s="62">
        <f t="shared" si="4"/>
        <v>9.2378220967741917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64">
        <v>34</v>
      </c>
      <c r="B38" s="45" t="s">
        <v>42</v>
      </c>
      <c r="C38" s="35">
        <v>8.2899999999999991</v>
      </c>
      <c r="D38" s="37">
        <v>120</v>
      </c>
      <c r="E38" s="12">
        <v>35</v>
      </c>
      <c r="F38" s="7">
        <f>385*1.73*35*0.66/1000</f>
        <v>15.385755000000001</v>
      </c>
      <c r="G38" s="26">
        <v>1244040</v>
      </c>
      <c r="H38" s="20">
        <f t="shared" si="0"/>
        <v>1.6720967741935484</v>
      </c>
      <c r="I38" s="62">
        <f t="shared" si="4"/>
        <v>8.2281949354838719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61">
        <v>35</v>
      </c>
      <c r="B39" s="45" t="s">
        <v>43</v>
      </c>
      <c r="C39" s="35">
        <v>11.18</v>
      </c>
      <c r="D39" s="37">
        <v>95</v>
      </c>
      <c r="E39" s="12">
        <v>35</v>
      </c>
      <c r="F39" s="7">
        <f>385*1.73*35*0.64/1000</f>
        <v>14.91952</v>
      </c>
      <c r="G39" s="26">
        <v>6264982</v>
      </c>
      <c r="H39" s="20">
        <f t="shared" si="0"/>
        <v>8.4206747311827943</v>
      </c>
      <c r="I39" s="62">
        <f t="shared" si="4"/>
        <v>3.8993071612903236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64">
        <v>36</v>
      </c>
      <c r="B40" s="45" t="s">
        <v>44</v>
      </c>
      <c r="C40" s="35">
        <v>9.83</v>
      </c>
      <c r="D40" s="37">
        <v>95</v>
      </c>
      <c r="E40" s="12">
        <v>35</v>
      </c>
      <c r="F40" s="7">
        <f>330*1.73*35*0.75/1000</f>
        <v>14.986124999999999</v>
      </c>
      <c r="G40" s="26">
        <v>3756834</v>
      </c>
      <c r="H40" s="13">
        <f t="shared" si="0"/>
        <v>5.0495080645161288</v>
      </c>
      <c r="I40" s="62">
        <f t="shared" si="4"/>
        <v>5.9619701612903224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61">
        <v>37</v>
      </c>
      <c r="B41" s="46" t="s">
        <v>45</v>
      </c>
      <c r="C41" s="35">
        <v>25.777999999999999</v>
      </c>
      <c r="D41" s="37">
        <v>70</v>
      </c>
      <c r="E41" s="12">
        <v>35</v>
      </c>
      <c r="F41" s="7">
        <f>270*1.73*35*0.8/1000</f>
        <v>13.078800000000001</v>
      </c>
      <c r="G41" s="26">
        <v>386110</v>
      </c>
      <c r="H41" s="20">
        <f t="shared" si="0"/>
        <v>0.51896505376344093</v>
      </c>
      <c r="I41" s="62">
        <f t="shared" si="4"/>
        <v>7.5359009677419353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64">
        <v>38</v>
      </c>
      <c r="B42" s="46" t="s">
        <v>46</v>
      </c>
      <c r="C42" s="35">
        <v>2.2280000000000002</v>
      </c>
      <c r="D42" s="37">
        <v>70</v>
      </c>
      <c r="E42" s="12">
        <v>35</v>
      </c>
      <c r="F42" s="7">
        <f>270*1.73*35*0.8/1000</f>
        <v>13.078800000000001</v>
      </c>
      <c r="G42" s="26">
        <v>3540</v>
      </c>
      <c r="H42" s="20">
        <f t="shared" si="0"/>
        <v>4.7580645161290321E-3</v>
      </c>
      <c r="I42" s="62">
        <f t="shared" si="4"/>
        <v>7.8444251612903235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61">
        <v>39</v>
      </c>
      <c r="B43" s="46" t="s">
        <v>47</v>
      </c>
      <c r="C43" s="35">
        <v>24.7</v>
      </c>
      <c r="D43" s="37">
        <v>35</v>
      </c>
      <c r="E43" s="12">
        <v>35</v>
      </c>
      <c r="F43" s="7">
        <f>175*1.73*35*0.8/1000</f>
        <v>8.4770000000000003</v>
      </c>
      <c r="G43" s="26">
        <v>146097</v>
      </c>
      <c r="H43" s="20">
        <f t="shared" si="0"/>
        <v>0.19636693548387096</v>
      </c>
      <c r="I43" s="62">
        <f t="shared" si="4"/>
        <v>4.9683798387096774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64">
        <v>40</v>
      </c>
      <c r="B44" s="46" t="s">
        <v>48</v>
      </c>
      <c r="C44" s="40">
        <v>2.2000000000000002</v>
      </c>
      <c r="D44" s="37">
        <v>95</v>
      </c>
      <c r="E44" s="12">
        <v>35</v>
      </c>
      <c r="F44" s="7">
        <f>270*1.73*35*0.8/1000</f>
        <v>13.078800000000001</v>
      </c>
      <c r="G44" s="26">
        <v>0</v>
      </c>
      <c r="H44" s="13">
        <f t="shared" si="0"/>
        <v>0</v>
      </c>
      <c r="I44" s="62">
        <f t="shared" si="4"/>
        <v>7.8472800000000005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61">
        <v>41</v>
      </c>
      <c r="B45" s="46" t="s">
        <v>49</v>
      </c>
      <c r="C45" s="40">
        <v>44.09</v>
      </c>
      <c r="D45" s="37">
        <v>70</v>
      </c>
      <c r="E45" s="12">
        <v>35</v>
      </c>
      <c r="F45" s="7">
        <f>270*1.73*35*0.64/1000</f>
        <v>10.463040000000001</v>
      </c>
      <c r="G45" s="26">
        <v>211872</v>
      </c>
      <c r="H45" s="20">
        <f t="shared" si="0"/>
        <v>0.28477419354838707</v>
      </c>
      <c r="I45" s="62">
        <f t="shared" si="4"/>
        <v>6.1069594838709689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64">
        <v>42</v>
      </c>
      <c r="B46" s="46" t="s">
        <v>50</v>
      </c>
      <c r="C46" s="40">
        <v>3.2</v>
      </c>
      <c r="D46" s="37">
        <v>70</v>
      </c>
      <c r="E46" s="12">
        <v>35</v>
      </c>
      <c r="F46" s="7">
        <f t="shared" ref="F46" si="6">270*1.73*35*0.8/1000</f>
        <v>13.078800000000001</v>
      </c>
      <c r="G46" s="26">
        <v>6426</v>
      </c>
      <c r="H46" s="20">
        <f t="shared" si="0"/>
        <v>8.6370967741935482E-3</v>
      </c>
      <c r="I46" s="62">
        <f t="shared" si="4"/>
        <v>7.8420977419354836</v>
      </c>
    </row>
    <row r="47" spans="1:23" x14ac:dyDescent="0.25">
      <c r="A47" s="61">
        <v>43</v>
      </c>
      <c r="B47" s="45" t="s">
        <v>51</v>
      </c>
      <c r="C47" s="35">
        <v>5.25</v>
      </c>
      <c r="D47" s="37">
        <v>95</v>
      </c>
      <c r="E47" s="12">
        <v>35</v>
      </c>
      <c r="F47" s="7">
        <f>270*1.73*35*0.8/1000</f>
        <v>13.078800000000001</v>
      </c>
      <c r="G47" s="26">
        <v>448608</v>
      </c>
      <c r="H47" s="20">
        <f t="shared" si="0"/>
        <v>0.60296774193548386</v>
      </c>
      <c r="I47" s="62">
        <f t="shared" si="4"/>
        <v>7.4854993548387103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64">
        <v>44</v>
      </c>
      <c r="B48" s="45" t="s">
        <v>52</v>
      </c>
      <c r="C48" s="35">
        <f>5.25+4.15</f>
        <v>9.4</v>
      </c>
      <c r="D48" s="37">
        <v>50</v>
      </c>
      <c r="E48" s="12">
        <v>35</v>
      </c>
      <c r="F48" s="7">
        <f>210*1.73*35*0.8/1000</f>
        <v>10.172400000000001</v>
      </c>
      <c r="G48" s="26">
        <v>384288</v>
      </c>
      <c r="H48" s="13">
        <f t="shared" si="0"/>
        <v>0.51651612903225808</v>
      </c>
      <c r="I48" s="62">
        <f t="shared" si="4"/>
        <v>5.7935303225806463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61">
        <v>45</v>
      </c>
      <c r="B49" s="45" t="s">
        <v>178</v>
      </c>
      <c r="C49" s="35">
        <v>4.96</v>
      </c>
      <c r="D49" s="37">
        <v>95</v>
      </c>
      <c r="E49" s="12">
        <v>35</v>
      </c>
      <c r="F49" s="7">
        <f t="shared" ref="F49:F50" si="7">325*1.73*35*0.8/1000</f>
        <v>15.743</v>
      </c>
      <c r="G49" s="26">
        <v>610829</v>
      </c>
      <c r="H49" s="20">
        <f t="shared" si="0"/>
        <v>0.82100672043010747</v>
      </c>
      <c r="I49" s="62">
        <f t="shared" si="4"/>
        <v>8.9531959677419355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64">
        <v>46</v>
      </c>
      <c r="B50" s="45" t="s">
        <v>179</v>
      </c>
      <c r="C50" s="35">
        <v>4.96</v>
      </c>
      <c r="D50" s="37">
        <v>95</v>
      </c>
      <c r="E50" s="12">
        <v>35</v>
      </c>
      <c r="F50" s="7">
        <f t="shared" si="7"/>
        <v>15.743</v>
      </c>
      <c r="G50" s="26">
        <v>1790356</v>
      </c>
      <c r="H50" s="20">
        <f t="shared" si="0"/>
        <v>2.4063924731182795</v>
      </c>
      <c r="I50" s="62">
        <f t="shared" si="4"/>
        <v>8.001964516129032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7.25" customHeight="1" x14ac:dyDescent="0.25">
      <c r="A51" s="61">
        <v>47</v>
      </c>
      <c r="B51" s="46" t="s">
        <v>53</v>
      </c>
      <c r="C51" s="35">
        <v>1.95</v>
      </c>
      <c r="D51" s="37">
        <v>70</v>
      </c>
      <c r="E51" s="12">
        <v>35</v>
      </c>
      <c r="F51" s="7">
        <f t="shared" ref="F51:F55" si="8">270*1.73*35*0.8/1000</f>
        <v>13.078800000000001</v>
      </c>
      <c r="G51" s="26">
        <v>5969</v>
      </c>
      <c r="H51" s="20">
        <f t="shared" si="0"/>
        <v>8.0228494623655923E-3</v>
      </c>
      <c r="I51" s="62">
        <f t="shared" si="4"/>
        <v>7.842466290322581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64">
        <v>48</v>
      </c>
      <c r="B52" s="47" t="s">
        <v>54</v>
      </c>
      <c r="C52" s="41">
        <v>71.8</v>
      </c>
      <c r="D52" s="32">
        <v>95</v>
      </c>
      <c r="E52" s="12">
        <v>35</v>
      </c>
      <c r="F52" s="7">
        <f t="shared" si="8"/>
        <v>13.078800000000001</v>
      </c>
      <c r="G52" s="26">
        <v>338948</v>
      </c>
      <c r="H52" s="13">
        <f t="shared" si="0"/>
        <v>0.45557526881720428</v>
      </c>
      <c r="I52" s="62">
        <f t="shared" si="4"/>
        <v>7.5739348387096772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61">
        <v>49</v>
      </c>
      <c r="B53" s="47" t="s">
        <v>55</v>
      </c>
      <c r="C53" s="41">
        <v>26</v>
      </c>
      <c r="D53" s="32">
        <v>95</v>
      </c>
      <c r="E53" s="12">
        <v>35</v>
      </c>
      <c r="F53" s="7">
        <f t="shared" si="8"/>
        <v>13.078800000000001</v>
      </c>
      <c r="G53" s="26">
        <v>151620</v>
      </c>
      <c r="H53" s="20">
        <f t="shared" si="0"/>
        <v>0.20379032258064517</v>
      </c>
      <c r="I53" s="62">
        <f t="shared" si="4"/>
        <v>7.7250058064516134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64">
        <v>50</v>
      </c>
      <c r="B54" s="47" t="s">
        <v>56</v>
      </c>
      <c r="C54" s="41">
        <v>3.1</v>
      </c>
      <c r="D54" s="32">
        <v>95</v>
      </c>
      <c r="E54" s="12">
        <v>35</v>
      </c>
      <c r="F54" s="7">
        <f t="shared" si="8"/>
        <v>13.078800000000001</v>
      </c>
      <c r="G54" s="26">
        <v>1250228</v>
      </c>
      <c r="H54" s="20">
        <f t="shared" si="0"/>
        <v>1.6804139784946237</v>
      </c>
      <c r="I54" s="62">
        <f t="shared" si="4"/>
        <v>6.8390316129032263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61">
        <v>51</v>
      </c>
      <c r="B55" s="47" t="s">
        <v>57</v>
      </c>
      <c r="C55" s="41">
        <v>3.1</v>
      </c>
      <c r="D55" s="32">
        <v>95</v>
      </c>
      <c r="E55" s="12">
        <v>35</v>
      </c>
      <c r="F55" s="7">
        <f t="shared" si="8"/>
        <v>13.078800000000001</v>
      </c>
      <c r="G55" s="26">
        <v>1368374</v>
      </c>
      <c r="H55" s="20">
        <f t="shared" si="0"/>
        <v>1.8392123655913979</v>
      </c>
      <c r="I55" s="62">
        <f t="shared" si="4"/>
        <v>6.7437525806451619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64">
        <v>52</v>
      </c>
      <c r="B56" s="47" t="s">
        <v>58</v>
      </c>
      <c r="C56" s="41">
        <v>3.2</v>
      </c>
      <c r="D56" s="32">
        <v>120</v>
      </c>
      <c r="E56" s="12">
        <v>35</v>
      </c>
      <c r="F56" s="7">
        <f t="shared" ref="F56:F57" si="9">385*1.73*35*0.7/1000</f>
        <v>16.318224999999998</v>
      </c>
      <c r="G56" s="26">
        <v>49602</v>
      </c>
      <c r="H56" s="13">
        <f t="shared" si="0"/>
        <v>6.6669354838709685E-2</v>
      </c>
      <c r="I56" s="62">
        <f t="shared" si="4"/>
        <v>9.750933387096774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61">
        <v>53</v>
      </c>
      <c r="B57" s="47" t="s">
        <v>59</v>
      </c>
      <c r="C57" s="41">
        <v>3.2</v>
      </c>
      <c r="D57" s="32">
        <v>120</v>
      </c>
      <c r="E57" s="12">
        <v>35</v>
      </c>
      <c r="F57" s="7">
        <f t="shared" si="9"/>
        <v>16.318224999999998</v>
      </c>
      <c r="G57" s="26">
        <v>460418</v>
      </c>
      <c r="H57" s="20">
        <f t="shared" si="0"/>
        <v>0.61884139784946235</v>
      </c>
      <c r="I57" s="62">
        <f t="shared" si="4"/>
        <v>9.4196301612903213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64">
        <v>54</v>
      </c>
      <c r="B58" s="47" t="s">
        <v>60</v>
      </c>
      <c r="C58" s="41">
        <v>64.2</v>
      </c>
      <c r="D58" s="32">
        <v>95</v>
      </c>
      <c r="E58" s="12">
        <v>35</v>
      </c>
      <c r="F58" s="7">
        <f>270*1.73*35*0.64/1000</f>
        <v>10.463040000000001</v>
      </c>
      <c r="G58" s="26">
        <v>180807</v>
      </c>
      <c r="H58" s="20">
        <f t="shared" si="0"/>
        <v>0.24302016129032258</v>
      </c>
      <c r="I58" s="62">
        <f t="shared" si="4"/>
        <v>6.1320119032258065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61">
        <v>55</v>
      </c>
      <c r="B59" s="47" t="s">
        <v>61</v>
      </c>
      <c r="C59" s="41">
        <v>3.2</v>
      </c>
      <c r="D59" s="32">
        <v>300</v>
      </c>
      <c r="E59" s="12">
        <v>35</v>
      </c>
      <c r="F59" s="7">
        <f>680*1.73*35*0.64/1000</f>
        <v>26.35136</v>
      </c>
      <c r="G59" s="26">
        <v>13664297</v>
      </c>
      <c r="H59" s="20">
        <f t="shared" si="0"/>
        <v>18.36599059139785</v>
      </c>
      <c r="I59" s="62">
        <f t="shared" si="4"/>
        <v>4.7912216451612899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64">
        <v>56</v>
      </c>
      <c r="B60" s="47" t="s">
        <v>62</v>
      </c>
      <c r="C60" s="41">
        <v>3.2</v>
      </c>
      <c r="D60" s="32">
        <v>300</v>
      </c>
      <c r="E60" s="12">
        <v>35</v>
      </c>
      <c r="F60" s="7">
        <f>680*1.73*35*0.64/1000</f>
        <v>26.35136</v>
      </c>
      <c r="G60" s="26">
        <v>12540293</v>
      </c>
      <c r="H60" s="13">
        <f t="shared" si="0"/>
        <v>16.855232526881721</v>
      </c>
      <c r="I60" s="62">
        <f t="shared" si="4"/>
        <v>5.6976764838709668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61">
        <v>57</v>
      </c>
      <c r="B61" s="47" t="s">
        <v>63</v>
      </c>
      <c r="C61" s="41">
        <v>14.26</v>
      </c>
      <c r="D61" s="32">
        <v>120</v>
      </c>
      <c r="E61" s="12">
        <v>35</v>
      </c>
      <c r="F61" s="7">
        <f>375*1.73*35*0.65/1000</f>
        <v>14.759062500000001</v>
      </c>
      <c r="G61" s="26">
        <v>2101422</v>
      </c>
      <c r="H61" s="20">
        <f t="shared" si="0"/>
        <v>2.8244919354838709</v>
      </c>
      <c r="I61" s="62">
        <f t="shared" si="4"/>
        <v>7.1607423387096771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64">
        <v>58</v>
      </c>
      <c r="B62" s="47" t="s">
        <v>64</v>
      </c>
      <c r="C62" s="41">
        <v>14.26</v>
      </c>
      <c r="D62" s="32">
        <v>95</v>
      </c>
      <c r="E62" s="12">
        <v>35</v>
      </c>
      <c r="F62" s="7">
        <f>270*1.73*35*0.8/1000</f>
        <v>13.078800000000001</v>
      </c>
      <c r="G62" s="26">
        <v>4421110</v>
      </c>
      <c r="H62" s="20">
        <f t="shared" si="0"/>
        <v>5.9423521505376344</v>
      </c>
      <c r="I62" s="62">
        <f t="shared" si="4"/>
        <v>4.2818687096774202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61">
        <v>59</v>
      </c>
      <c r="B63" s="47" t="s">
        <v>65</v>
      </c>
      <c r="C63" s="41">
        <v>17</v>
      </c>
      <c r="D63" s="32">
        <v>95</v>
      </c>
      <c r="E63" s="12">
        <v>35</v>
      </c>
      <c r="F63" s="7">
        <f>270*1.73*35*0.7/1000</f>
        <v>11.443949999999999</v>
      </c>
      <c r="G63" s="26">
        <v>3368434</v>
      </c>
      <c r="H63" s="20">
        <f t="shared" si="0"/>
        <v>4.5274650537634411</v>
      </c>
      <c r="I63" s="62">
        <f t="shared" si="4"/>
        <v>4.1498909677419347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64">
        <v>60</v>
      </c>
      <c r="B64" s="47" t="s">
        <v>66</v>
      </c>
      <c r="C64" s="41">
        <v>9.1310000000000002</v>
      </c>
      <c r="D64" s="32">
        <v>95</v>
      </c>
      <c r="E64" s="12">
        <v>35</v>
      </c>
      <c r="F64" s="7">
        <f>270*1.73*35*0.8/1000</f>
        <v>13.078800000000001</v>
      </c>
      <c r="G64" s="26">
        <v>2644975</v>
      </c>
      <c r="H64" s="13">
        <f t="shared" si="0"/>
        <v>3.5550739247311824</v>
      </c>
      <c r="I64" s="62">
        <f t="shared" si="4"/>
        <v>5.714235645161291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61">
        <v>61</v>
      </c>
      <c r="B65" s="47" t="s">
        <v>67</v>
      </c>
      <c r="C65" s="41">
        <v>8.5069999999999997</v>
      </c>
      <c r="D65" s="32">
        <v>120</v>
      </c>
      <c r="E65" s="12">
        <v>35</v>
      </c>
      <c r="F65" s="7">
        <f>385*1.73*35*0.65/1000</f>
        <v>15.152637500000001</v>
      </c>
      <c r="G65" s="26">
        <v>3874861</v>
      </c>
      <c r="H65" s="20">
        <f t="shared" si="0"/>
        <v>5.2081465053763445</v>
      </c>
      <c r="I65" s="62">
        <f t="shared" si="4"/>
        <v>5.966694596774194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64">
        <v>62</v>
      </c>
      <c r="B66" s="47" t="s">
        <v>68</v>
      </c>
      <c r="C66" s="41">
        <v>22.26</v>
      </c>
      <c r="D66" s="32">
        <v>95</v>
      </c>
      <c r="E66" s="12">
        <v>35</v>
      </c>
      <c r="F66" s="7">
        <f>270*1.73*35*0.64/1000</f>
        <v>10.463040000000001</v>
      </c>
      <c r="G66" s="26">
        <v>4159117</v>
      </c>
      <c r="H66" s="20">
        <f>G66/744/1000</f>
        <v>5.5902110215053762</v>
      </c>
      <c r="I66" s="62">
        <f t="shared" si="4"/>
        <v>2.9236973870967748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61">
        <v>63</v>
      </c>
      <c r="B67" s="67" t="s">
        <v>69</v>
      </c>
      <c r="C67" s="42">
        <v>39.26</v>
      </c>
      <c r="D67" s="26">
        <v>95</v>
      </c>
      <c r="E67" s="12">
        <v>35</v>
      </c>
      <c r="F67" s="7">
        <f>270*1.73*35*0.6/1000</f>
        <v>9.8091000000000008</v>
      </c>
      <c r="G67" s="26">
        <v>1184051</v>
      </c>
      <c r="H67" s="20">
        <f t="shared" si="0"/>
        <v>1.5914663978494623</v>
      </c>
      <c r="I67" s="62">
        <f t="shared" si="4"/>
        <v>4.9305801612903233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68"/>
      <c r="B68" s="69" t="s">
        <v>70</v>
      </c>
      <c r="C68" s="35"/>
      <c r="D68" s="37"/>
      <c r="E68" s="43"/>
      <c r="F68" s="21"/>
      <c r="G68" s="54"/>
      <c r="H68" s="22"/>
      <c r="I68" s="7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idden="1" x14ac:dyDescent="0.25">
      <c r="A69" s="64">
        <v>64</v>
      </c>
      <c r="B69" s="46" t="s">
        <v>71</v>
      </c>
      <c r="C69" s="48">
        <v>0.3</v>
      </c>
      <c r="D69" s="8">
        <v>50</v>
      </c>
      <c r="E69" s="43">
        <v>6</v>
      </c>
      <c r="F69" s="7">
        <f>215*1.73*6*0.8/1000</f>
        <v>1.7853599999999998</v>
      </c>
      <c r="G69" s="26">
        <v>0</v>
      </c>
      <c r="H69" s="23">
        <f t="shared" si="0"/>
        <v>0</v>
      </c>
      <c r="I69" s="62">
        <f t="shared" ref="I69:I133" si="10">(F69-H69)*0.6</f>
        <v>1.0712159999999999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idden="1" x14ac:dyDescent="0.25">
      <c r="A70" s="64">
        <v>65</v>
      </c>
      <c r="B70" s="46" t="s">
        <v>72</v>
      </c>
      <c r="C70" s="35">
        <v>0.32</v>
      </c>
      <c r="D70" s="37">
        <v>50</v>
      </c>
      <c r="E70" s="43">
        <v>6</v>
      </c>
      <c r="F70" s="7">
        <f t="shared" ref="F70" si="11">215*1.73*6*0.8/1000</f>
        <v>1.7853599999999998</v>
      </c>
      <c r="G70" s="26">
        <v>0</v>
      </c>
      <c r="H70" s="23">
        <f t="shared" ref="H70:H133" si="12">G70/744/1000</f>
        <v>0</v>
      </c>
      <c r="I70" s="62">
        <f t="shared" si="10"/>
        <v>1.0712159999999999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idden="1" x14ac:dyDescent="0.25">
      <c r="A71" s="64">
        <v>66</v>
      </c>
      <c r="B71" s="46" t="s">
        <v>73</v>
      </c>
      <c r="C71" s="35">
        <v>1.24</v>
      </c>
      <c r="D71" s="37">
        <v>50</v>
      </c>
      <c r="E71" s="43">
        <v>6</v>
      </c>
      <c r="F71" s="7">
        <f>210*1.73*6*0.8/1000</f>
        <v>1.7438400000000001</v>
      </c>
      <c r="G71" s="26">
        <v>0</v>
      </c>
      <c r="H71" s="23">
        <f t="shared" si="12"/>
        <v>0</v>
      </c>
      <c r="I71" s="62">
        <f t="shared" si="10"/>
        <v>1.0463039999999999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idden="1" x14ac:dyDescent="0.25">
      <c r="A72" s="64">
        <v>67</v>
      </c>
      <c r="B72" s="46" t="s">
        <v>74</v>
      </c>
      <c r="C72" s="35">
        <v>1.1499999999999999</v>
      </c>
      <c r="D72" s="37">
        <v>50</v>
      </c>
      <c r="E72" s="43">
        <v>6</v>
      </c>
      <c r="F72" s="7">
        <f>215*1.73*6*0.7/1000</f>
        <v>1.5621899999999997</v>
      </c>
      <c r="G72" s="26">
        <v>0</v>
      </c>
      <c r="H72" s="13">
        <f t="shared" si="12"/>
        <v>0</v>
      </c>
      <c r="I72" s="62">
        <f t="shared" si="10"/>
        <v>0.93731399999999976</v>
      </c>
    </row>
    <row r="73" spans="1:23" x14ac:dyDescent="0.25">
      <c r="A73" s="64">
        <v>1</v>
      </c>
      <c r="B73" s="46" t="s">
        <v>75</v>
      </c>
      <c r="C73" s="35">
        <v>1.1200000000000001</v>
      </c>
      <c r="D73" s="37">
        <v>70</v>
      </c>
      <c r="E73" s="43">
        <v>6</v>
      </c>
      <c r="F73" s="7">
        <f>265*1.73*6*0.8/1000</f>
        <v>2.2005599999999998</v>
      </c>
      <c r="G73" s="26">
        <v>26352</v>
      </c>
      <c r="H73" s="23">
        <f t="shared" si="12"/>
        <v>3.5419354838709678E-2</v>
      </c>
      <c r="I73" s="62">
        <f t="shared" si="10"/>
        <v>1.2990843870967741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64">
        <v>2</v>
      </c>
      <c r="B74" s="46" t="s">
        <v>76</v>
      </c>
      <c r="C74" s="35">
        <v>2.573</v>
      </c>
      <c r="D74" s="37">
        <v>50</v>
      </c>
      <c r="E74" s="43">
        <v>6</v>
      </c>
      <c r="F74" s="7">
        <f>215*1.73*6*0.7/1000</f>
        <v>1.5621899999999997</v>
      </c>
      <c r="G74" s="26">
        <v>54408</v>
      </c>
      <c r="H74" s="23">
        <f t="shared" si="12"/>
        <v>7.3129032258064511E-2</v>
      </c>
      <c r="I74" s="62">
        <f t="shared" si="10"/>
        <v>0.89343658064516118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idden="1" x14ac:dyDescent="0.25">
      <c r="A75" s="64">
        <v>3</v>
      </c>
      <c r="B75" s="46" t="s">
        <v>77</v>
      </c>
      <c r="C75" s="35">
        <v>3.323</v>
      </c>
      <c r="D75" s="37">
        <v>35</v>
      </c>
      <c r="E75" s="43">
        <v>6</v>
      </c>
      <c r="F75" s="7">
        <f>175*1.73*6*0.65/1000</f>
        <v>1.1807250000000002</v>
      </c>
      <c r="G75" s="26" t="s">
        <v>162</v>
      </c>
      <c r="H75" s="23" t="e">
        <f t="shared" si="12"/>
        <v>#VALUE!</v>
      </c>
      <c r="I75" s="62" t="e">
        <f t="shared" si="10"/>
        <v>#VALUE!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64">
        <v>3</v>
      </c>
      <c r="B76" s="46" t="s">
        <v>78</v>
      </c>
      <c r="C76" s="35">
        <v>1.47</v>
      </c>
      <c r="D76" s="37">
        <v>35</v>
      </c>
      <c r="E76" s="43">
        <v>6</v>
      </c>
      <c r="F76" s="7">
        <f>175*1.73*6*0.7/1000</f>
        <v>1.27155</v>
      </c>
      <c r="G76" s="26">
        <v>36336</v>
      </c>
      <c r="H76" s="23">
        <f t="shared" si="12"/>
        <v>4.8838709677419351E-2</v>
      </c>
      <c r="I76" s="62">
        <f t="shared" si="10"/>
        <v>0.73362677419354827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64">
        <v>4</v>
      </c>
      <c r="B77" s="46" t="s">
        <v>79</v>
      </c>
      <c r="C77" s="35">
        <v>6.88</v>
      </c>
      <c r="D77" s="37">
        <v>50</v>
      </c>
      <c r="E77" s="43">
        <v>6</v>
      </c>
      <c r="F77" s="7">
        <f>215*1.73*6*0.64/1000</f>
        <v>1.428288</v>
      </c>
      <c r="G77" s="26">
        <v>91416</v>
      </c>
      <c r="H77" s="23">
        <f t="shared" si="12"/>
        <v>0.12287096774193548</v>
      </c>
      <c r="I77" s="62">
        <f t="shared" si="10"/>
        <v>0.78325021935483863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64">
        <v>5</v>
      </c>
      <c r="B78" s="46" t="s">
        <v>80</v>
      </c>
      <c r="C78" s="35">
        <v>0.54</v>
      </c>
      <c r="D78" s="37">
        <v>95</v>
      </c>
      <c r="E78" s="43">
        <v>6</v>
      </c>
      <c r="F78" s="7">
        <f>325*1.73*6*0.8/1000</f>
        <v>2.6988000000000003</v>
      </c>
      <c r="G78" s="26">
        <v>0</v>
      </c>
      <c r="H78" s="23">
        <f t="shared" si="12"/>
        <v>0</v>
      </c>
      <c r="I78" s="62">
        <f t="shared" si="10"/>
        <v>1.6192800000000001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64">
        <v>6</v>
      </c>
      <c r="B79" s="46" t="s">
        <v>81</v>
      </c>
      <c r="C79" s="35">
        <v>1.7</v>
      </c>
      <c r="D79" s="37">
        <v>70</v>
      </c>
      <c r="E79" s="43">
        <v>6</v>
      </c>
      <c r="F79" s="7">
        <f>265*1.73*6*0.8/1000</f>
        <v>2.2005599999999998</v>
      </c>
      <c r="G79" s="26">
        <v>72</v>
      </c>
      <c r="H79" s="23">
        <f t="shared" si="12"/>
        <v>9.6774193548387094E-5</v>
      </c>
      <c r="I79" s="62">
        <f t="shared" si="10"/>
        <v>1.3202779354838707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64">
        <v>7</v>
      </c>
      <c r="B80" s="46" t="s">
        <v>82</v>
      </c>
      <c r="C80" s="35">
        <v>0.9</v>
      </c>
      <c r="D80" s="37">
        <v>95</v>
      </c>
      <c r="E80" s="43">
        <v>6</v>
      </c>
      <c r="F80" s="7">
        <f t="shared" ref="F80:F81" si="13">325*1.73*6*0.8/1000</f>
        <v>2.6988000000000003</v>
      </c>
      <c r="G80" s="26">
        <v>0</v>
      </c>
      <c r="H80" s="23">
        <f t="shared" si="12"/>
        <v>0</v>
      </c>
      <c r="I80" s="62">
        <f t="shared" si="10"/>
        <v>1.6192800000000001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64">
        <v>8</v>
      </c>
      <c r="B81" s="46" t="s">
        <v>83</v>
      </c>
      <c r="C81" s="35">
        <v>1.5</v>
      </c>
      <c r="D81" s="37">
        <v>95</v>
      </c>
      <c r="E81" s="43">
        <v>6</v>
      </c>
      <c r="F81" s="7">
        <f t="shared" si="13"/>
        <v>2.6988000000000003</v>
      </c>
      <c r="G81" s="26">
        <v>72</v>
      </c>
      <c r="H81" s="24">
        <f t="shared" si="12"/>
        <v>9.6774193548387094E-5</v>
      </c>
      <c r="I81" s="62">
        <f t="shared" si="10"/>
        <v>1.6192219354838711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64">
        <v>9</v>
      </c>
      <c r="B82" s="46" t="s">
        <v>84</v>
      </c>
      <c r="C82" s="35">
        <v>2</v>
      </c>
      <c r="D82" s="37">
        <v>70</v>
      </c>
      <c r="E82" s="43">
        <v>6</v>
      </c>
      <c r="F82" s="7">
        <f t="shared" ref="F82:F83" si="14">265*1.73*6*0.8/1000</f>
        <v>2.2005599999999998</v>
      </c>
      <c r="G82" s="26">
        <v>0</v>
      </c>
      <c r="H82" s="13">
        <f t="shared" si="12"/>
        <v>0</v>
      </c>
      <c r="I82" s="62">
        <f t="shared" si="10"/>
        <v>1.320336</v>
      </c>
    </row>
    <row r="83" spans="1:23" x14ac:dyDescent="0.25">
      <c r="A83" s="64">
        <v>10</v>
      </c>
      <c r="B83" s="46" t="s">
        <v>85</v>
      </c>
      <c r="C83" s="35">
        <v>0.6</v>
      </c>
      <c r="D83" s="37">
        <v>70</v>
      </c>
      <c r="E83" s="43">
        <v>6</v>
      </c>
      <c r="F83" s="7">
        <f t="shared" si="14"/>
        <v>2.2005599999999998</v>
      </c>
      <c r="G83" s="26">
        <v>1008</v>
      </c>
      <c r="H83" s="13">
        <f t="shared" si="12"/>
        <v>1.3548387096774192E-3</v>
      </c>
      <c r="I83" s="62">
        <f t="shared" si="10"/>
        <v>1.3195230967741935</v>
      </c>
    </row>
    <row r="84" spans="1:23" x14ac:dyDescent="0.25">
      <c r="A84" s="64">
        <v>11</v>
      </c>
      <c r="B84" s="46" t="s">
        <v>86</v>
      </c>
      <c r="C84" s="35">
        <v>7.6</v>
      </c>
      <c r="D84" s="37">
        <v>70</v>
      </c>
      <c r="E84" s="43">
        <v>6</v>
      </c>
      <c r="F84" s="7">
        <f>265*1.73*6*0.6/1000</f>
        <v>1.6504199999999998</v>
      </c>
      <c r="G84" s="26">
        <v>43584</v>
      </c>
      <c r="H84" s="13">
        <f t="shared" si="12"/>
        <v>5.8580645161290322E-2</v>
      </c>
      <c r="I84" s="62">
        <f t="shared" si="10"/>
        <v>0.95510361290322565</v>
      </c>
    </row>
    <row r="85" spans="1:23" x14ac:dyDescent="0.25">
      <c r="A85" s="64">
        <v>12</v>
      </c>
      <c r="B85" s="46" t="s">
        <v>87</v>
      </c>
      <c r="C85" s="36">
        <v>1.68</v>
      </c>
      <c r="D85" s="37">
        <v>50</v>
      </c>
      <c r="E85" s="43">
        <v>6</v>
      </c>
      <c r="F85" s="7">
        <f t="shared" ref="F85:F86" si="15">215*1.73*6*0.64/1000</f>
        <v>1.428288</v>
      </c>
      <c r="G85" s="26">
        <v>14220</v>
      </c>
      <c r="H85" s="13">
        <f t="shared" si="12"/>
        <v>1.911290322580645E-2</v>
      </c>
      <c r="I85" s="62">
        <f t="shared" si="10"/>
        <v>0.84550505806451615</v>
      </c>
    </row>
    <row r="86" spans="1:23" x14ac:dyDescent="0.25">
      <c r="A86" s="64">
        <v>13</v>
      </c>
      <c r="B86" s="46" t="s">
        <v>88</v>
      </c>
      <c r="C86" s="36">
        <v>1.68</v>
      </c>
      <c r="D86" s="37">
        <v>50</v>
      </c>
      <c r="E86" s="43">
        <v>6</v>
      </c>
      <c r="F86" s="7">
        <f t="shared" si="15"/>
        <v>1.428288</v>
      </c>
      <c r="G86" s="26">
        <v>0</v>
      </c>
      <c r="H86" s="13">
        <f t="shared" si="12"/>
        <v>0</v>
      </c>
      <c r="I86" s="62">
        <f t="shared" si="10"/>
        <v>0.85697279999999998</v>
      </c>
    </row>
    <row r="87" spans="1:23" x14ac:dyDescent="0.25">
      <c r="A87" s="64">
        <v>14</v>
      </c>
      <c r="B87" s="71" t="s">
        <v>89</v>
      </c>
      <c r="C87" s="48">
        <v>1.1000000000000001</v>
      </c>
      <c r="D87" s="8">
        <v>95</v>
      </c>
      <c r="E87" s="43">
        <v>6</v>
      </c>
      <c r="F87" s="7">
        <f>325*1.73*6*0.75/1000</f>
        <v>2.530125</v>
      </c>
      <c r="G87" s="26">
        <v>1360512</v>
      </c>
      <c r="H87" s="13">
        <f t="shared" si="12"/>
        <v>1.8286451612903227</v>
      </c>
      <c r="I87" s="62">
        <f t="shared" si="10"/>
        <v>0.42088790322580633</v>
      </c>
    </row>
    <row r="88" spans="1:23" x14ac:dyDescent="0.25">
      <c r="A88" s="64">
        <v>15</v>
      </c>
      <c r="B88" s="71" t="s">
        <v>90</v>
      </c>
      <c r="C88" s="48">
        <v>1.1000000000000001</v>
      </c>
      <c r="D88" s="8">
        <v>95</v>
      </c>
      <c r="E88" s="43">
        <v>6</v>
      </c>
      <c r="F88" s="7">
        <f>325*1.73*6*0.75/1000</f>
        <v>2.530125</v>
      </c>
      <c r="G88" s="26">
        <v>21744</v>
      </c>
      <c r="H88" s="13">
        <f t="shared" si="12"/>
        <v>2.9225806451612903E-2</v>
      </c>
      <c r="I88" s="62">
        <f t="shared" si="10"/>
        <v>1.5005395161290322</v>
      </c>
    </row>
    <row r="89" spans="1:23" x14ac:dyDescent="0.25">
      <c r="A89" s="64">
        <v>16</v>
      </c>
      <c r="B89" s="46" t="s">
        <v>91</v>
      </c>
      <c r="C89" s="48">
        <v>3.7</v>
      </c>
      <c r="D89" s="8">
        <v>50</v>
      </c>
      <c r="E89" s="43">
        <v>6</v>
      </c>
      <c r="F89" s="7">
        <f>215*1.73*6*0.7/1000</f>
        <v>1.5621899999999997</v>
      </c>
      <c r="G89" s="26">
        <v>0</v>
      </c>
      <c r="H89" s="13">
        <f t="shared" si="12"/>
        <v>0</v>
      </c>
      <c r="I89" s="62">
        <f t="shared" si="10"/>
        <v>0.93731399999999976</v>
      </c>
    </row>
    <row r="90" spans="1:23" x14ac:dyDescent="0.25">
      <c r="A90" s="64">
        <v>17</v>
      </c>
      <c r="B90" s="46" t="s">
        <v>92</v>
      </c>
      <c r="C90" s="48">
        <v>3.48</v>
      </c>
      <c r="D90" s="8">
        <v>50</v>
      </c>
      <c r="E90" s="43">
        <v>6</v>
      </c>
      <c r="F90" s="7">
        <f>215*1.73*6*0.7/1000</f>
        <v>1.5621899999999997</v>
      </c>
      <c r="G90" s="26">
        <v>30204</v>
      </c>
      <c r="H90" s="23">
        <f t="shared" si="12"/>
        <v>4.0596774193548388E-2</v>
      </c>
      <c r="I90" s="62">
        <f t="shared" si="10"/>
        <v>0.91295593548387077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A91" s="64">
        <v>18</v>
      </c>
      <c r="B91" s="71" t="s">
        <v>144</v>
      </c>
      <c r="C91" s="48">
        <v>0.46</v>
      </c>
      <c r="D91" s="8">
        <v>50</v>
      </c>
      <c r="E91" s="43">
        <v>6</v>
      </c>
      <c r="F91" s="7">
        <f t="shared" ref="F91:F94" si="16">215*1.73*6*0.8/1000</f>
        <v>1.7853599999999998</v>
      </c>
      <c r="G91" s="26">
        <v>0</v>
      </c>
      <c r="H91" s="13">
        <f t="shared" si="12"/>
        <v>0</v>
      </c>
      <c r="I91" s="62">
        <f t="shared" si="10"/>
        <v>1.0712159999999999</v>
      </c>
    </row>
    <row r="92" spans="1:23" x14ac:dyDescent="0.25">
      <c r="A92" s="64">
        <v>19</v>
      </c>
      <c r="B92" s="71" t="s">
        <v>147</v>
      </c>
      <c r="C92" s="48">
        <v>0.46</v>
      </c>
      <c r="D92" s="8">
        <v>50</v>
      </c>
      <c r="E92" s="43">
        <v>6</v>
      </c>
      <c r="F92" s="7">
        <f t="shared" si="16"/>
        <v>1.7853599999999998</v>
      </c>
      <c r="G92" s="26">
        <v>51840</v>
      </c>
      <c r="H92" s="13">
        <f t="shared" si="12"/>
        <v>6.9677419354838704E-2</v>
      </c>
      <c r="I92" s="62">
        <f t="shared" si="10"/>
        <v>1.0294095483870966</v>
      </c>
    </row>
    <row r="93" spans="1:23" x14ac:dyDescent="0.25">
      <c r="A93" s="64">
        <v>20</v>
      </c>
      <c r="B93" s="71" t="s">
        <v>145</v>
      </c>
      <c r="C93" s="48">
        <v>0.46</v>
      </c>
      <c r="D93" s="8">
        <v>50</v>
      </c>
      <c r="E93" s="43">
        <v>6</v>
      </c>
      <c r="F93" s="7">
        <f t="shared" si="16"/>
        <v>1.7853599999999998</v>
      </c>
      <c r="G93" s="26">
        <v>0</v>
      </c>
      <c r="H93" s="13">
        <f t="shared" si="12"/>
        <v>0</v>
      </c>
      <c r="I93" s="62">
        <f t="shared" si="10"/>
        <v>1.0712159999999999</v>
      </c>
    </row>
    <row r="94" spans="1:23" x14ac:dyDescent="0.25">
      <c r="A94" s="64">
        <v>21</v>
      </c>
      <c r="B94" s="71" t="s">
        <v>146</v>
      </c>
      <c r="C94" s="48">
        <v>0.46</v>
      </c>
      <c r="D94" s="8">
        <v>50</v>
      </c>
      <c r="E94" s="43">
        <v>6</v>
      </c>
      <c r="F94" s="7">
        <f t="shared" si="16"/>
        <v>1.7853599999999998</v>
      </c>
      <c r="G94" s="26">
        <v>36</v>
      </c>
      <c r="H94" s="13">
        <f t="shared" si="12"/>
        <v>4.8387096774193547E-5</v>
      </c>
      <c r="I94" s="62">
        <f t="shared" si="10"/>
        <v>1.0711869677419352</v>
      </c>
    </row>
    <row r="95" spans="1:23" x14ac:dyDescent="0.25">
      <c r="A95" s="64">
        <v>22</v>
      </c>
      <c r="B95" s="46" t="s">
        <v>93</v>
      </c>
      <c r="C95" s="48">
        <v>1.22</v>
      </c>
      <c r="D95" s="8">
        <v>120</v>
      </c>
      <c r="E95" s="43">
        <v>6</v>
      </c>
      <c r="F95" s="7">
        <f>375*1.73*6*0.7/1000</f>
        <v>2.7247499999999998</v>
      </c>
      <c r="G95" s="26">
        <v>85776</v>
      </c>
      <c r="H95" s="13">
        <f t="shared" si="12"/>
        <v>0.11529032258064517</v>
      </c>
      <c r="I95" s="62">
        <f t="shared" si="10"/>
        <v>1.5656758064516128</v>
      </c>
    </row>
    <row r="96" spans="1:23" x14ac:dyDescent="0.25">
      <c r="A96" s="64">
        <v>23</v>
      </c>
      <c r="B96" s="46" t="s">
        <v>94</v>
      </c>
      <c r="C96" s="48">
        <v>1.22</v>
      </c>
      <c r="D96" s="8">
        <v>120</v>
      </c>
      <c r="E96" s="43">
        <v>6</v>
      </c>
      <c r="F96" s="7">
        <f>375*1.73*6*0.7/1000</f>
        <v>2.7247499999999998</v>
      </c>
      <c r="G96" s="26">
        <v>720144</v>
      </c>
      <c r="H96" s="13">
        <f t="shared" si="12"/>
        <v>0.96793548387096773</v>
      </c>
      <c r="I96" s="62">
        <f t="shared" si="10"/>
        <v>1.0540887096774192</v>
      </c>
    </row>
    <row r="97" spans="1:23" x14ac:dyDescent="0.25">
      <c r="A97" s="64">
        <v>24</v>
      </c>
      <c r="B97" s="46" t="s">
        <v>95</v>
      </c>
      <c r="C97" s="36">
        <v>0.11600000000000001</v>
      </c>
      <c r="D97" s="37">
        <v>70</v>
      </c>
      <c r="E97" s="43">
        <v>6</v>
      </c>
      <c r="F97" s="7">
        <f t="shared" ref="F97:F98" si="17">265*1.73*6*0.8/1000</f>
        <v>2.2005599999999998</v>
      </c>
      <c r="G97" s="26">
        <v>6318</v>
      </c>
      <c r="H97" s="13">
        <f t="shared" si="12"/>
        <v>8.4919354838709684E-3</v>
      </c>
      <c r="I97" s="62">
        <f t="shared" si="10"/>
        <v>1.3152408387096772</v>
      </c>
    </row>
    <row r="98" spans="1:23" x14ac:dyDescent="0.25">
      <c r="A98" s="64">
        <v>25</v>
      </c>
      <c r="B98" s="46" t="s">
        <v>96</v>
      </c>
      <c r="C98" s="36">
        <v>0.11899999999999999</v>
      </c>
      <c r="D98" s="37">
        <v>70</v>
      </c>
      <c r="E98" s="43">
        <v>6</v>
      </c>
      <c r="F98" s="7">
        <f t="shared" si="17"/>
        <v>2.2005599999999998</v>
      </c>
      <c r="G98" s="26">
        <v>33732</v>
      </c>
      <c r="H98" s="13">
        <f t="shared" si="12"/>
        <v>4.5338709677419355E-2</v>
      </c>
      <c r="I98" s="62">
        <f t="shared" si="10"/>
        <v>1.2931327741935483</v>
      </c>
    </row>
    <row r="99" spans="1:23" x14ac:dyDescent="0.25">
      <c r="A99" s="64">
        <v>26</v>
      </c>
      <c r="B99" s="46" t="s">
        <v>97</v>
      </c>
      <c r="C99" s="48">
        <v>1.792</v>
      </c>
      <c r="D99" s="8">
        <v>95</v>
      </c>
      <c r="E99" s="43">
        <v>6</v>
      </c>
      <c r="F99" s="7">
        <f t="shared" ref="F99:F100" si="18">325*1.73*6*0.75/1000</f>
        <v>2.530125</v>
      </c>
      <c r="G99" s="26">
        <v>434808</v>
      </c>
      <c r="H99" s="13">
        <f t="shared" si="12"/>
        <v>0.58441935483870966</v>
      </c>
      <c r="I99" s="62">
        <f t="shared" si="10"/>
        <v>1.1674233870967743</v>
      </c>
    </row>
    <row r="100" spans="1:23" x14ac:dyDescent="0.25">
      <c r="A100" s="64">
        <v>27</v>
      </c>
      <c r="B100" s="46" t="s">
        <v>98</v>
      </c>
      <c r="C100" s="48">
        <v>1.8</v>
      </c>
      <c r="D100" s="8">
        <v>95</v>
      </c>
      <c r="E100" s="43">
        <v>6</v>
      </c>
      <c r="F100" s="7">
        <f t="shared" si="18"/>
        <v>2.530125</v>
      </c>
      <c r="G100" s="26">
        <v>0</v>
      </c>
      <c r="H100" s="13">
        <f t="shared" si="12"/>
        <v>0</v>
      </c>
      <c r="I100" s="62">
        <f t="shared" si="10"/>
        <v>1.5180749999999998</v>
      </c>
    </row>
    <row r="101" spans="1:23" x14ac:dyDescent="0.25">
      <c r="A101" s="64">
        <v>28</v>
      </c>
      <c r="B101" s="46" t="s">
        <v>99</v>
      </c>
      <c r="C101" s="48">
        <v>0.8</v>
      </c>
      <c r="D101" s="8">
        <v>120</v>
      </c>
      <c r="E101" s="43">
        <v>6</v>
      </c>
      <c r="F101" s="7">
        <f>375*1.73*6*0.7/1000</f>
        <v>2.7247499999999998</v>
      </c>
      <c r="G101" s="26">
        <v>0</v>
      </c>
      <c r="H101" s="13">
        <f t="shared" si="12"/>
        <v>0</v>
      </c>
      <c r="I101" s="62">
        <f t="shared" si="10"/>
        <v>1.6348499999999999</v>
      </c>
    </row>
    <row r="102" spans="1:23" x14ac:dyDescent="0.25">
      <c r="A102" s="64">
        <v>29</v>
      </c>
      <c r="B102" s="46" t="s">
        <v>100</v>
      </c>
      <c r="C102" s="35">
        <v>5.51</v>
      </c>
      <c r="D102" s="37">
        <v>70</v>
      </c>
      <c r="E102" s="43">
        <v>6</v>
      </c>
      <c r="F102" s="7">
        <f>265*1.73*6*0.6/1000</f>
        <v>1.6504199999999998</v>
      </c>
      <c r="G102" s="26">
        <v>15750</v>
      </c>
      <c r="H102" s="23">
        <f t="shared" si="12"/>
        <v>2.1169354838709676E-2</v>
      </c>
      <c r="I102" s="62">
        <f t="shared" si="10"/>
        <v>0.977550387096774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5">
      <c r="A103" s="64">
        <v>30</v>
      </c>
      <c r="B103" s="46" t="s">
        <v>101</v>
      </c>
      <c r="C103" s="35">
        <v>9.9499999999999993</v>
      </c>
      <c r="D103" s="37">
        <v>70</v>
      </c>
      <c r="E103" s="43">
        <v>6</v>
      </c>
      <c r="F103" s="7">
        <f>265*1.73*6*0.5/1000</f>
        <v>1.3753499999999999</v>
      </c>
      <c r="G103" s="26">
        <v>10392</v>
      </c>
      <c r="H103" s="13">
        <f t="shared" si="12"/>
        <v>1.396774193548387E-2</v>
      </c>
      <c r="I103" s="62">
        <f t="shared" si="10"/>
        <v>0.81682935483870966</v>
      </c>
    </row>
    <row r="104" spans="1:23" x14ac:dyDescent="0.25">
      <c r="A104" s="64">
        <v>31</v>
      </c>
      <c r="B104" s="46" t="s">
        <v>102</v>
      </c>
      <c r="C104" s="48">
        <v>0.64500000000000002</v>
      </c>
      <c r="D104" s="37">
        <v>70</v>
      </c>
      <c r="E104" s="43">
        <v>6</v>
      </c>
      <c r="F104" s="7">
        <f t="shared" ref="F104" si="19">265*1.73*6*0.8/1000</f>
        <v>2.2005599999999998</v>
      </c>
      <c r="G104" s="26">
        <v>534336</v>
      </c>
      <c r="H104" s="13">
        <f t="shared" si="12"/>
        <v>0.71819354838709681</v>
      </c>
      <c r="I104" s="62">
        <f t="shared" si="10"/>
        <v>0.88941987096774178</v>
      </c>
    </row>
    <row r="105" spans="1:23" x14ac:dyDescent="0.25">
      <c r="A105" s="64">
        <v>32</v>
      </c>
      <c r="B105" s="46" t="s">
        <v>103</v>
      </c>
      <c r="C105" s="48">
        <v>2.645</v>
      </c>
      <c r="D105" s="8">
        <v>120</v>
      </c>
      <c r="E105" s="43">
        <v>6</v>
      </c>
      <c r="F105" s="7">
        <f>375*1.73*6*0.65/1000</f>
        <v>2.530125</v>
      </c>
      <c r="G105" s="26">
        <v>96</v>
      </c>
      <c r="H105" s="13">
        <f t="shared" si="12"/>
        <v>1.2903225806451613E-4</v>
      </c>
      <c r="I105" s="62">
        <f t="shared" si="10"/>
        <v>1.5179975806451613</v>
      </c>
    </row>
    <row r="106" spans="1:23" x14ac:dyDescent="0.25">
      <c r="A106" s="64">
        <v>33</v>
      </c>
      <c r="B106" s="71" t="s">
        <v>104</v>
      </c>
      <c r="C106" s="48">
        <v>3.3</v>
      </c>
      <c r="D106" s="8">
        <v>70</v>
      </c>
      <c r="E106" s="43">
        <v>6</v>
      </c>
      <c r="F106" s="7">
        <f t="shared" ref="F106:F107" si="20">265*1.73*6*0.7/1000</f>
        <v>1.9254899999999997</v>
      </c>
      <c r="G106" s="26">
        <v>341460</v>
      </c>
      <c r="H106" s="13">
        <f t="shared" si="12"/>
        <v>0.45895161290322578</v>
      </c>
      <c r="I106" s="62">
        <f t="shared" si="10"/>
        <v>0.87992303225806434</v>
      </c>
    </row>
    <row r="107" spans="1:23" x14ac:dyDescent="0.25">
      <c r="A107" s="64">
        <v>34</v>
      </c>
      <c r="B107" s="71" t="s">
        <v>105</v>
      </c>
      <c r="C107" s="48">
        <v>3.3</v>
      </c>
      <c r="D107" s="8">
        <v>70</v>
      </c>
      <c r="E107" s="43">
        <v>6</v>
      </c>
      <c r="F107" s="7">
        <f t="shared" si="20"/>
        <v>1.9254899999999997</v>
      </c>
      <c r="G107" s="26">
        <v>94860</v>
      </c>
      <c r="H107" s="13">
        <f t="shared" si="12"/>
        <v>0.1275</v>
      </c>
      <c r="I107" s="62">
        <f t="shared" si="10"/>
        <v>1.0787939999999998</v>
      </c>
    </row>
    <row r="108" spans="1:23" x14ac:dyDescent="0.25">
      <c r="A108" s="64">
        <v>35</v>
      </c>
      <c r="B108" s="46" t="s">
        <v>106</v>
      </c>
      <c r="C108" s="40">
        <v>3.44</v>
      </c>
      <c r="D108" s="37">
        <v>35</v>
      </c>
      <c r="E108" s="43">
        <v>6</v>
      </c>
      <c r="F108" s="7">
        <f>175*1.73*6*0.8/1000</f>
        <v>1.4532</v>
      </c>
      <c r="G108" s="26">
        <v>90024</v>
      </c>
      <c r="H108" s="25">
        <f t="shared" si="12"/>
        <v>0.121</v>
      </c>
      <c r="I108" s="62">
        <f t="shared" si="10"/>
        <v>0.79932000000000003</v>
      </c>
    </row>
    <row r="109" spans="1:23" x14ac:dyDescent="0.25">
      <c r="A109" s="64">
        <v>36</v>
      </c>
      <c r="B109" s="46" t="s">
        <v>107</v>
      </c>
      <c r="C109" s="48">
        <v>1.875</v>
      </c>
      <c r="D109" s="8">
        <v>50</v>
      </c>
      <c r="E109" s="43">
        <v>6</v>
      </c>
      <c r="F109" s="7">
        <f t="shared" ref="F109:F110" si="21">215*1.73*6*0.8/1000</f>
        <v>1.7853599999999998</v>
      </c>
      <c r="G109" s="26">
        <v>0</v>
      </c>
      <c r="H109" s="13">
        <f>G109/744/1000</f>
        <v>0</v>
      </c>
      <c r="I109" s="62">
        <f>(F109-H109)*0.6</f>
        <v>1.0712159999999999</v>
      </c>
    </row>
    <row r="110" spans="1:23" x14ac:dyDescent="0.25">
      <c r="A110" s="64">
        <v>37</v>
      </c>
      <c r="B110" s="46" t="s">
        <v>108</v>
      </c>
      <c r="C110" s="48">
        <v>0.377</v>
      </c>
      <c r="D110" s="8">
        <v>50</v>
      </c>
      <c r="E110" s="43">
        <v>6</v>
      </c>
      <c r="F110" s="7">
        <f t="shared" si="21"/>
        <v>1.7853599999999998</v>
      </c>
      <c r="G110" s="26">
        <v>0</v>
      </c>
      <c r="H110" s="23">
        <f t="shared" si="12"/>
        <v>0</v>
      </c>
      <c r="I110" s="62">
        <f t="shared" si="10"/>
        <v>1.0712159999999999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5">
      <c r="A111" s="64">
        <v>38</v>
      </c>
      <c r="B111" s="46" t="s">
        <v>164</v>
      </c>
      <c r="C111" s="35">
        <v>4.4379999999999997</v>
      </c>
      <c r="D111" s="37">
        <v>35</v>
      </c>
      <c r="E111" s="43">
        <v>6</v>
      </c>
      <c r="F111" s="7">
        <f>175*1.73*6*0.7/1000</f>
        <v>1.27155</v>
      </c>
      <c r="G111" s="26">
        <v>4212</v>
      </c>
      <c r="H111" s="13">
        <f t="shared" si="12"/>
        <v>5.6612903225806447E-3</v>
      </c>
      <c r="I111" s="62">
        <f t="shared" si="10"/>
        <v>0.75953322580645166</v>
      </c>
    </row>
    <row r="112" spans="1:23" x14ac:dyDescent="0.25">
      <c r="A112" s="64">
        <v>39</v>
      </c>
      <c r="B112" s="46" t="s">
        <v>109</v>
      </c>
      <c r="C112" s="36">
        <v>6.72</v>
      </c>
      <c r="D112" s="37">
        <v>35</v>
      </c>
      <c r="E112" s="43">
        <v>6</v>
      </c>
      <c r="F112" s="7">
        <f>175*1.73*6*0.64/1000</f>
        <v>1.16256</v>
      </c>
      <c r="G112" s="26">
        <v>0</v>
      </c>
      <c r="H112" s="23">
        <f t="shared" si="12"/>
        <v>0</v>
      </c>
      <c r="I112" s="62">
        <f t="shared" si="10"/>
        <v>0.69753600000000004</v>
      </c>
    </row>
    <row r="113" spans="1:9" x14ac:dyDescent="0.25">
      <c r="A113" s="64">
        <v>40</v>
      </c>
      <c r="B113" s="46" t="s">
        <v>163</v>
      </c>
      <c r="C113" s="48">
        <v>5.82</v>
      </c>
      <c r="D113" s="8">
        <v>35</v>
      </c>
      <c r="E113" s="43">
        <v>6</v>
      </c>
      <c r="F113" s="7">
        <f>175*1.73*6*0.7/1000</f>
        <v>1.27155</v>
      </c>
      <c r="G113" s="26">
        <v>0</v>
      </c>
      <c r="H113" s="13">
        <f t="shared" si="12"/>
        <v>0</v>
      </c>
      <c r="I113" s="62">
        <f t="shared" si="10"/>
        <v>0.76293</v>
      </c>
    </row>
    <row r="114" spans="1:9" x14ac:dyDescent="0.25">
      <c r="A114" s="64">
        <v>41</v>
      </c>
      <c r="B114" s="46" t="s">
        <v>110</v>
      </c>
      <c r="C114" s="40">
        <v>12.6</v>
      </c>
      <c r="D114" s="37">
        <v>50</v>
      </c>
      <c r="E114" s="43">
        <v>6</v>
      </c>
      <c r="F114" s="7">
        <f>215*1.73*6*0.5/1000</f>
        <v>1.11585</v>
      </c>
      <c r="G114" s="26">
        <v>12642</v>
      </c>
      <c r="H114" s="23">
        <f t="shared" si="12"/>
        <v>1.6991935483870967E-2</v>
      </c>
      <c r="I114" s="62">
        <f t="shared" si="10"/>
        <v>0.65931483870967733</v>
      </c>
    </row>
    <row r="115" spans="1:9" x14ac:dyDescent="0.25">
      <c r="A115" s="64">
        <v>42</v>
      </c>
      <c r="B115" s="46" t="s">
        <v>111</v>
      </c>
      <c r="C115" s="35">
        <v>2.5</v>
      </c>
      <c r="D115" s="37">
        <v>50</v>
      </c>
      <c r="E115" s="43">
        <v>6</v>
      </c>
      <c r="F115" s="7">
        <f t="shared" ref="F115" si="22">215*1.73*6*0.8/1000</f>
        <v>1.7853599999999998</v>
      </c>
      <c r="G115" s="26">
        <v>71580</v>
      </c>
      <c r="H115" s="13">
        <f t="shared" si="12"/>
        <v>9.6209677419354836E-2</v>
      </c>
      <c r="I115" s="62">
        <f t="shared" si="10"/>
        <v>1.0134901935483869</v>
      </c>
    </row>
    <row r="116" spans="1:9" x14ac:dyDescent="0.25">
      <c r="A116" s="64">
        <v>43</v>
      </c>
      <c r="B116" s="46" t="s">
        <v>112</v>
      </c>
      <c r="C116" s="48">
        <v>8</v>
      </c>
      <c r="D116" s="8">
        <v>35</v>
      </c>
      <c r="E116" s="43">
        <v>6</v>
      </c>
      <c r="F116" s="7">
        <f t="shared" ref="F116" si="23">175*1.73*6*0.8/1000</f>
        <v>1.4532</v>
      </c>
      <c r="G116" s="26">
        <v>5016</v>
      </c>
      <c r="H116" s="23">
        <f t="shared" si="12"/>
        <v>6.7419354838709677E-3</v>
      </c>
      <c r="I116" s="62">
        <f t="shared" si="10"/>
        <v>0.86787483870967741</v>
      </c>
    </row>
    <row r="117" spans="1:9" hidden="1" x14ac:dyDescent="0.25">
      <c r="A117" s="64">
        <v>44</v>
      </c>
      <c r="B117" s="46" t="s">
        <v>113</v>
      </c>
      <c r="C117" s="40">
        <v>4.2619999999999996</v>
      </c>
      <c r="D117" s="37">
        <v>35</v>
      </c>
      <c r="E117" s="43">
        <v>6</v>
      </c>
      <c r="F117" s="7">
        <f>175*1.73*6*0.64/1000</f>
        <v>1.16256</v>
      </c>
      <c r="G117" s="26" t="s">
        <v>162</v>
      </c>
      <c r="H117" s="13" t="e">
        <f t="shared" si="12"/>
        <v>#VALUE!</v>
      </c>
      <c r="I117" s="62" t="e">
        <f t="shared" si="10"/>
        <v>#VALUE!</v>
      </c>
    </row>
    <row r="118" spans="1:9" x14ac:dyDescent="0.25">
      <c r="A118" s="64">
        <v>44</v>
      </c>
      <c r="B118" s="47" t="s">
        <v>114</v>
      </c>
      <c r="C118" s="49">
        <v>1.034</v>
      </c>
      <c r="D118" s="32">
        <v>50</v>
      </c>
      <c r="E118" s="43">
        <v>6</v>
      </c>
      <c r="F118" s="7">
        <v>1.7853599999999998</v>
      </c>
      <c r="G118" s="26">
        <v>45072</v>
      </c>
      <c r="H118" s="23">
        <f t="shared" si="12"/>
        <v>6.0580645161290317E-2</v>
      </c>
      <c r="I118" s="62">
        <f t="shared" si="10"/>
        <v>1.0348676129032257</v>
      </c>
    </row>
    <row r="119" spans="1:9" x14ac:dyDescent="0.25">
      <c r="A119" s="64">
        <v>45</v>
      </c>
      <c r="B119" s="47" t="s">
        <v>115</v>
      </c>
      <c r="C119" s="49">
        <v>1.5</v>
      </c>
      <c r="D119" s="32">
        <v>70</v>
      </c>
      <c r="E119" s="43">
        <v>6</v>
      </c>
      <c r="F119" s="7">
        <f t="shared" ref="F119:F120" si="24">265*1.73*6*0.7/1000</f>
        <v>1.9254899999999997</v>
      </c>
      <c r="G119" s="26">
        <v>10426</v>
      </c>
      <c r="H119" s="13">
        <f t="shared" si="12"/>
        <v>1.4013440860215054E-2</v>
      </c>
      <c r="I119" s="62">
        <f t="shared" si="10"/>
        <v>1.1468859354838707</v>
      </c>
    </row>
    <row r="120" spans="1:9" x14ac:dyDescent="0.25">
      <c r="A120" s="64">
        <v>46</v>
      </c>
      <c r="B120" s="47" t="s">
        <v>116</v>
      </c>
      <c r="C120" s="49">
        <v>1.5</v>
      </c>
      <c r="D120" s="32">
        <v>70</v>
      </c>
      <c r="E120" s="43">
        <v>6</v>
      </c>
      <c r="F120" s="7">
        <f t="shared" si="24"/>
        <v>1.9254899999999997</v>
      </c>
      <c r="G120" s="26">
        <v>109674</v>
      </c>
      <c r="H120" s="23">
        <f t="shared" si="12"/>
        <v>0.14741129032258063</v>
      </c>
      <c r="I120" s="62">
        <f t="shared" si="10"/>
        <v>1.0668472258064514</v>
      </c>
    </row>
    <row r="121" spans="1:9" x14ac:dyDescent="0.25">
      <c r="A121" s="64">
        <v>47</v>
      </c>
      <c r="B121" s="47" t="s">
        <v>117</v>
      </c>
      <c r="C121" s="49">
        <v>2.7</v>
      </c>
      <c r="D121" s="32">
        <v>50</v>
      </c>
      <c r="E121" s="43">
        <v>6</v>
      </c>
      <c r="F121" s="7">
        <f t="shared" ref="F121:F123" si="25">215*1.73*6*0.8/1000</f>
        <v>1.7853599999999998</v>
      </c>
      <c r="G121" s="26">
        <v>10075</v>
      </c>
      <c r="H121" s="13">
        <f t="shared" si="12"/>
        <v>1.3541666666666665E-2</v>
      </c>
      <c r="I121" s="62">
        <f t="shared" si="10"/>
        <v>1.063091</v>
      </c>
    </row>
    <row r="122" spans="1:9" x14ac:dyDescent="0.25">
      <c r="A122" s="64">
        <v>48</v>
      </c>
      <c r="B122" s="47" t="s">
        <v>151</v>
      </c>
      <c r="C122" s="49">
        <v>6.36</v>
      </c>
      <c r="D122" s="32">
        <v>50</v>
      </c>
      <c r="E122" s="43">
        <v>6</v>
      </c>
      <c r="F122" s="7">
        <f>215*1.73*6*0.6/1000</f>
        <v>1.3390199999999997</v>
      </c>
      <c r="G122" s="26">
        <v>2646</v>
      </c>
      <c r="H122" s="23">
        <f t="shared" si="12"/>
        <v>3.556451612903226E-3</v>
      </c>
      <c r="I122" s="62">
        <f t="shared" si="10"/>
        <v>0.80127812903225781</v>
      </c>
    </row>
    <row r="123" spans="1:9" hidden="1" x14ac:dyDescent="0.25">
      <c r="A123" s="64">
        <v>49</v>
      </c>
      <c r="B123" s="9" t="s">
        <v>118</v>
      </c>
      <c r="C123" s="49">
        <v>1.02</v>
      </c>
      <c r="D123" s="32">
        <v>50</v>
      </c>
      <c r="E123" s="43">
        <v>6</v>
      </c>
      <c r="F123" s="7">
        <f t="shared" si="25"/>
        <v>1.7853599999999998</v>
      </c>
      <c r="G123" s="26">
        <v>0</v>
      </c>
      <c r="H123" s="13">
        <f t="shared" si="12"/>
        <v>0</v>
      </c>
      <c r="I123" s="62">
        <f t="shared" si="10"/>
        <v>1.0712159999999999</v>
      </c>
    </row>
    <row r="124" spans="1:9" x14ac:dyDescent="0.25">
      <c r="A124" s="64">
        <v>49</v>
      </c>
      <c r="B124" s="9" t="s">
        <v>119</v>
      </c>
      <c r="C124" s="49">
        <v>3.06</v>
      </c>
      <c r="D124" s="32">
        <v>70.349999999999994</v>
      </c>
      <c r="E124" s="43">
        <v>6</v>
      </c>
      <c r="F124" s="7">
        <f t="shared" ref="F124" si="26">265*1.73*6*0.7/1000</f>
        <v>1.9254899999999997</v>
      </c>
      <c r="G124" s="26">
        <v>1277</v>
      </c>
      <c r="H124" s="23">
        <f t="shared" si="12"/>
        <v>1.7163978494623656E-3</v>
      </c>
      <c r="I124" s="62">
        <f t="shared" si="10"/>
        <v>1.1542641612903224</v>
      </c>
    </row>
    <row r="125" spans="1:9" x14ac:dyDescent="0.25">
      <c r="A125" s="64">
        <v>50</v>
      </c>
      <c r="B125" s="9" t="s">
        <v>189</v>
      </c>
      <c r="C125" s="49">
        <v>1.07</v>
      </c>
      <c r="D125" s="32">
        <v>50</v>
      </c>
      <c r="E125" s="43">
        <v>6</v>
      </c>
      <c r="F125" s="7">
        <f t="shared" ref="F125" si="27">215*1.73*6*0.8/1000</f>
        <v>1.7853599999999998</v>
      </c>
      <c r="G125" s="26">
        <v>29170</v>
      </c>
      <c r="H125" s="13">
        <f t="shared" si="12"/>
        <v>3.9206989247311821E-2</v>
      </c>
      <c r="I125" s="62">
        <f t="shared" si="10"/>
        <v>1.0476918064516128</v>
      </c>
    </row>
    <row r="126" spans="1:9" x14ac:dyDescent="0.25">
      <c r="A126" s="64">
        <v>51</v>
      </c>
      <c r="B126" s="9" t="s">
        <v>120</v>
      </c>
      <c r="C126" s="49">
        <v>1.1499999999999999</v>
      </c>
      <c r="D126" s="32">
        <v>70</v>
      </c>
      <c r="E126" s="43">
        <v>6</v>
      </c>
      <c r="F126" s="7">
        <f t="shared" ref="F126:F127" si="28">265*1.73*6*0.7/1000</f>
        <v>1.9254899999999997</v>
      </c>
      <c r="G126" s="26">
        <v>14448</v>
      </c>
      <c r="H126" s="23">
        <f t="shared" si="12"/>
        <v>1.9419354838709678E-2</v>
      </c>
      <c r="I126" s="62">
        <f t="shared" si="10"/>
        <v>1.143642387096774</v>
      </c>
    </row>
    <row r="127" spans="1:9" x14ac:dyDescent="0.25">
      <c r="A127" s="64">
        <v>52</v>
      </c>
      <c r="B127" s="9" t="s">
        <v>192</v>
      </c>
      <c r="C127" s="49">
        <v>2.4500000000000002</v>
      </c>
      <c r="D127" s="32">
        <v>70</v>
      </c>
      <c r="E127" s="43">
        <v>6</v>
      </c>
      <c r="F127" s="7">
        <f t="shared" si="28"/>
        <v>1.9254899999999997</v>
      </c>
      <c r="G127" s="26">
        <v>106272</v>
      </c>
      <c r="H127" s="23">
        <f t="shared" si="12"/>
        <v>0.14283870967741935</v>
      </c>
      <c r="I127" s="62">
        <f t="shared" si="10"/>
        <v>1.0695907741935482</v>
      </c>
    </row>
    <row r="128" spans="1:9" x14ac:dyDescent="0.25">
      <c r="A128" s="64">
        <v>53</v>
      </c>
      <c r="B128" s="9" t="s">
        <v>188</v>
      </c>
      <c r="C128" s="49">
        <v>3.6</v>
      </c>
      <c r="D128" s="32">
        <v>70</v>
      </c>
      <c r="E128" s="43">
        <v>6</v>
      </c>
      <c r="F128" s="7">
        <f t="shared" ref="F128" si="29">265*1.73*6*0.7/1000</f>
        <v>1.9254899999999997</v>
      </c>
      <c r="G128" s="26">
        <v>17940</v>
      </c>
      <c r="H128" s="23">
        <f t="shared" si="12"/>
        <v>2.4112903225806451E-2</v>
      </c>
      <c r="I128" s="62">
        <f t="shared" si="10"/>
        <v>1.1408262580645159</v>
      </c>
    </row>
    <row r="129" spans="1:9" x14ac:dyDescent="0.25">
      <c r="A129" s="64">
        <v>54</v>
      </c>
      <c r="B129" s="9" t="s">
        <v>121</v>
      </c>
      <c r="C129" s="49">
        <v>1.8</v>
      </c>
      <c r="D129" s="32">
        <v>95</v>
      </c>
      <c r="E129" s="43">
        <v>6</v>
      </c>
      <c r="F129" s="7">
        <f t="shared" ref="F129" si="30">325*1.73*35*0.8/1000</f>
        <v>15.743</v>
      </c>
      <c r="G129" s="26">
        <v>22999</v>
      </c>
      <c r="H129" s="13">
        <f t="shared" si="12"/>
        <v>3.0912634408602153E-2</v>
      </c>
      <c r="I129" s="62">
        <f t="shared" si="10"/>
        <v>9.4272524193548382</v>
      </c>
    </row>
    <row r="130" spans="1:9" ht="32.25" customHeight="1" x14ac:dyDescent="0.25">
      <c r="A130" s="64">
        <v>55</v>
      </c>
      <c r="B130" s="57" t="s">
        <v>122</v>
      </c>
      <c r="C130" s="49">
        <v>0.3</v>
      </c>
      <c r="D130" s="32">
        <v>70</v>
      </c>
      <c r="E130" s="43">
        <v>6</v>
      </c>
      <c r="F130" s="7">
        <f t="shared" ref="F130:F132" si="31">265*1.73*6*0.7/1000</f>
        <v>1.9254899999999997</v>
      </c>
      <c r="G130" s="26">
        <v>64464</v>
      </c>
      <c r="H130" s="23">
        <f t="shared" si="12"/>
        <v>8.664516129032257E-2</v>
      </c>
      <c r="I130" s="62">
        <f t="shared" si="10"/>
        <v>1.1033069032258063</v>
      </c>
    </row>
    <row r="131" spans="1:9" x14ac:dyDescent="0.25">
      <c r="A131" s="64">
        <v>56</v>
      </c>
      <c r="B131" s="9" t="s">
        <v>123</v>
      </c>
      <c r="C131" s="49">
        <v>0.85</v>
      </c>
      <c r="D131" s="32">
        <v>70</v>
      </c>
      <c r="E131" s="43">
        <v>6</v>
      </c>
      <c r="F131" s="7">
        <f t="shared" si="31"/>
        <v>1.9254899999999997</v>
      </c>
      <c r="G131" s="26">
        <v>6818</v>
      </c>
      <c r="H131" s="13">
        <f t="shared" si="12"/>
        <v>9.163978494623656E-3</v>
      </c>
      <c r="I131" s="62">
        <f t="shared" si="10"/>
        <v>1.1497956129032256</v>
      </c>
    </row>
    <row r="132" spans="1:9" x14ac:dyDescent="0.25">
      <c r="A132" s="64">
        <v>57</v>
      </c>
      <c r="B132" s="9" t="s">
        <v>124</v>
      </c>
      <c r="C132" s="49">
        <v>0.46</v>
      </c>
      <c r="D132" s="32">
        <v>70</v>
      </c>
      <c r="E132" s="43">
        <v>6</v>
      </c>
      <c r="F132" s="7">
        <f t="shared" si="31"/>
        <v>1.9254899999999997</v>
      </c>
      <c r="G132" s="26">
        <v>13152</v>
      </c>
      <c r="H132" s="23">
        <f t="shared" si="12"/>
        <v>1.7677419354838707E-2</v>
      </c>
      <c r="I132" s="62">
        <f t="shared" si="10"/>
        <v>1.1446875483870964</v>
      </c>
    </row>
    <row r="133" spans="1:9" x14ac:dyDescent="0.25">
      <c r="A133" s="64">
        <v>58</v>
      </c>
      <c r="B133" s="9" t="s">
        <v>191</v>
      </c>
      <c r="C133" s="49">
        <v>1</v>
      </c>
      <c r="D133" s="32">
        <v>95</v>
      </c>
      <c r="E133" s="43">
        <v>6</v>
      </c>
      <c r="F133" s="7">
        <f t="shared" ref="F133:F136" si="32">325*1.73*6*0.75/1000</f>
        <v>2.530125</v>
      </c>
      <c r="G133" s="26">
        <v>7632</v>
      </c>
      <c r="H133" s="13">
        <f t="shared" si="12"/>
        <v>1.0258064516129033E-2</v>
      </c>
      <c r="I133" s="62">
        <f t="shared" si="10"/>
        <v>1.5119201612903224</v>
      </c>
    </row>
    <row r="134" spans="1:9" x14ac:dyDescent="0.25">
      <c r="A134" s="64">
        <v>59</v>
      </c>
      <c r="B134" s="9" t="s">
        <v>172</v>
      </c>
      <c r="C134" s="49">
        <v>1</v>
      </c>
      <c r="D134" s="32">
        <v>95</v>
      </c>
      <c r="E134" s="43">
        <v>6</v>
      </c>
      <c r="F134" s="7">
        <f>325*1.73*6*0.7/1000</f>
        <v>2.3614499999999996</v>
      </c>
      <c r="G134" s="26">
        <v>52992</v>
      </c>
      <c r="H134" s="23">
        <f t="shared" ref="H134:H177" si="33">G134/744/1000</f>
        <v>7.1225806451612902E-2</v>
      </c>
      <c r="I134" s="62">
        <f t="shared" ref="I134:I184" si="34">(F134-H134)*0.6</f>
        <v>1.3741345161290321</v>
      </c>
    </row>
    <row r="135" spans="1:9" x14ac:dyDescent="0.25">
      <c r="A135" s="64">
        <v>60</v>
      </c>
      <c r="B135" s="9" t="s">
        <v>190</v>
      </c>
      <c r="C135" s="49">
        <v>0.36</v>
      </c>
      <c r="D135" s="32">
        <v>95</v>
      </c>
      <c r="E135" s="43">
        <v>6</v>
      </c>
      <c r="F135" s="7">
        <f t="shared" si="32"/>
        <v>2.530125</v>
      </c>
      <c r="G135" s="26">
        <v>86448</v>
      </c>
      <c r="H135" s="13">
        <f t="shared" si="33"/>
        <v>0.11619354838709677</v>
      </c>
      <c r="I135" s="62">
        <f t="shared" si="34"/>
        <v>1.448358870967742</v>
      </c>
    </row>
    <row r="136" spans="1:9" x14ac:dyDescent="0.25">
      <c r="A136" s="64">
        <v>61</v>
      </c>
      <c r="B136" s="9" t="s">
        <v>173</v>
      </c>
      <c r="C136" s="50">
        <v>0.36</v>
      </c>
      <c r="D136" s="10">
        <v>95</v>
      </c>
      <c r="E136" s="43">
        <v>6</v>
      </c>
      <c r="F136" s="7">
        <f t="shared" si="32"/>
        <v>2.530125</v>
      </c>
      <c r="G136" s="26">
        <v>4272</v>
      </c>
      <c r="H136" s="23">
        <f t="shared" si="33"/>
        <v>5.7419354838709677E-3</v>
      </c>
      <c r="I136" s="62">
        <f t="shared" si="34"/>
        <v>1.5146298387096775</v>
      </c>
    </row>
    <row r="137" spans="1:9" ht="31.5" x14ac:dyDescent="0.25">
      <c r="A137" s="64">
        <v>62</v>
      </c>
      <c r="B137" s="57" t="s">
        <v>175</v>
      </c>
      <c r="C137" s="50">
        <v>0.6</v>
      </c>
      <c r="D137" s="10">
        <v>50</v>
      </c>
      <c r="E137" s="43">
        <v>6</v>
      </c>
      <c r="F137" s="7">
        <f t="shared" ref="F137:F139" si="35">215*1.73*6*0.8/1000</f>
        <v>1.7853599999999998</v>
      </c>
      <c r="G137" s="26">
        <v>24804</v>
      </c>
      <c r="H137" s="13">
        <f t="shared" si="33"/>
        <v>3.3338709677419351E-2</v>
      </c>
      <c r="I137" s="62">
        <f t="shared" si="34"/>
        <v>1.0512127741935482</v>
      </c>
    </row>
    <row r="138" spans="1:9" x14ac:dyDescent="0.25">
      <c r="A138" s="64">
        <v>63</v>
      </c>
      <c r="B138" s="45" t="s">
        <v>125</v>
      </c>
      <c r="C138" s="35">
        <v>0.8</v>
      </c>
      <c r="D138" s="37">
        <v>50</v>
      </c>
      <c r="E138" s="43">
        <v>6</v>
      </c>
      <c r="F138" s="7">
        <f t="shared" si="35"/>
        <v>1.7853599999999998</v>
      </c>
      <c r="G138" s="26">
        <v>16325</v>
      </c>
      <c r="H138" s="23">
        <f t="shared" si="33"/>
        <v>2.1942204301075269E-2</v>
      </c>
      <c r="I138" s="62">
        <f>(F138-H138)*0.6</f>
        <v>1.0580506774193548</v>
      </c>
    </row>
    <row r="139" spans="1:9" ht="24.75" customHeight="1" x14ac:dyDescent="0.25">
      <c r="A139" s="64">
        <v>64</v>
      </c>
      <c r="B139" s="9" t="s">
        <v>126</v>
      </c>
      <c r="C139" s="35">
        <v>0.3</v>
      </c>
      <c r="D139" s="37">
        <v>50</v>
      </c>
      <c r="E139" s="43">
        <v>6</v>
      </c>
      <c r="F139" s="7">
        <f t="shared" si="35"/>
        <v>1.7853599999999998</v>
      </c>
      <c r="G139" s="26">
        <v>61344</v>
      </c>
      <c r="H139" s="13">
        <f t="shared" si="33"/>
        <v>8.2451612903225807E-2</v>
      </c>
      <c r="I139" s="62">
        <f t="shared" si="34"/>
        <v>1.0217450322580643</v>
      </c>
    </row>
    <row r="140" spans="1:9" ht="31.5" x14ac:dyDescent="0.25">
      <c r="A140" s="64">
        <v>65</v>
      </c>
      <c r="B140" s="57" t="s">
        <v>127</v>
      </c>
      <c r="C140" s="35">
        <v>0.9</v>
      </c>
      <c r="D140" s="37">
        <v>50</v>
      </c>
      <c r="E140" s="43">
        <v>6</v>
      </c>
      <c r="F140" s="7">
        <f>215*1.73*6*0.8/1000</f>
        <v>1.7853599999999998</v>
      </c>
      <c r="G140" s="26">
        <v>1668</v>
      </c>
      <c r="H140" s="23">
        <f t="shared" si="33"/>
        <v>2.2419354838709676E-3</v>
      </c>
      <c r="I140" s="62">
        <f t="shared" si="34"/>
        <v>1.0698708387096774</v>
      </c>
    </row>
    <row r="141" spans="1:9" x14ac:dyDescent="0.25">
      <c r="A141" s="64">
        <v>66</v>
      </c>
      <c r="B141" s="45" t="s">
        <v>128</v>
      </c>
      <c r="C141" s="35">
        <v>3.5</v>
      </c>
      <c r="D141" s="37">
        <v>35</v>
      </c>
      <c r="E141" s="43">
        <v>6</v>
      </c>
      <c r="F141" s="7">
        <f t="shared" ref="F141" si="36">170*1.73*35*0.8/1000</f>
        <v>8.2348000000000017</v>
      </c>
      <c r="G141" s="26">
        <v>4383</v>
      </c>
      <c r="H141" s="13">
        <f t="shared" si="33"/>
        <v>5.8911290322580653E-3</v>
      </c>
      <c r="I141" s="62">
        <f t="shared" si="34"/>
        <v>4.9373453225806454</v>
      </c>
    </row>
    <row r="142" spans="1:9" x14ac:dyDescent="0.25">
      <c r="A142" s="64">
        <v>67</v>
      </c>
      <c r="B142" s="57" t="s">
        <v>129</v>
      </c>
      <c r="C142" s="35">
        <v>2.64</v>
      </c>
      <c r="D142" s="37">
        <v>70</v>
      </c>
      <c r="E142" s="43">
        <v>6</v>
      </c>
      <c r="F142" s="7">
        <f t="shared" ref="F142" si="37">265*1.73*6*0.7/1000</f>
        <v>1.9254899999999997</v>
      </c>
      <c r="G142" s="26">
        <v>1353</v>
      </c>
      <c r="H142" s="23">
        <f t="shared" si="33"/>
        <v>1.8185483870967742E-3</v>
      </c>
      <c r="I142" s="62">
        <f t="shared" si="34"/>
        <v>1.1542028709677417</v>
      </c>
    </row>
    <row r="143" spans="1:9" x14ac:dyDescent="0.25">
      <c r="A143" s="64">
        <v>68</v>
      </c>
      <c r="B143" s="47" t="s">
        <v>130</v>
      </c>
      <c r="C143" s="41">
        <v>1.1000000000000001</v>
      </c>
      <c r="D143" s="32">
        <v>95</v>
      </c>
      <c r="E143" s="43">
        <v>6</v>
      </c>
      <c r="F143" s="7">
        <f>325*1.73*6*0.7/1000</f>
        <v>2.3614499999999996</v>
      </c>
      <c r="G143" s="26">
        <v>99288</v>
      </c>
      <c r="H143" s="13">
        <f t="shared" si="33"/>
        <v>0.1334516129032258</v>
      </c>
      <c r="I143" s="62">
        <f t="shared" si="34"/>
        <v>1.3367990322580641</v>
      </c>
    </row>
    <row r="144" spans="1:9" x14ac:dyDescent="0.25">
      <c r="A144" s="64">
        <v>69</v>
      </c>
      <c r="B144" s="47" t="s">
        <v>131</v>
      </c>
      <c r="C144" s="48">
        <v>1.2</v>
      </c>
      <c r="D144" s="8">
        <v>95</v>
      </c>
      <c r="E144" s="43">
        <v>6</v>
      </c>
      <c r="F144" s="7">
        <f t="shared" ref="F144:F153" si="38">325*1.73*6*0.75/1000</f>
        <v>2.530125</v>
      </c>
      <c r="G144" s="26">
        <v>853344</v>
      </c>
      <c r="H144" s="23">
        <f t="shared" si="33"/>
        <v>1.146967741935484</v>
      </c>
      <c r="I144" s="62">
        <f t="shared" si="34"/>
        <v>0.82989435483870955</v>
      </c>
    </row>
    <row r="145" spans="1:9" x14ac:dyDescent="0.25">
      <c r="A145" s="64">
        <v>70</v>
      </c>
      <c r="B145" s="47" t="s">
        <v>193</v>
      </c>
      <c r="C145" s="48">
        <v>2.4</v>
      </c>
      <c r="D145" s="8">
        <v>95</v>
      </c>
      <c r="E145" s="43">
        <v>6</v>
      </c>
      <c r="F145" s="7">
        <f t="shared" si="38"/>
        <v>2.530125</v>
      </c>
      <c r="G145" s="26">
        <v>1019</v>
      </c>
      <c r="H145" s="13">
        <f t="shared" si="33"/>
        <v>1.3696236559139784E-3</v>
      </c>
      <c r="I145" s="62">
        <f t="shared" si="34"/>
        <v>1.5172532258064515</v>
      </c>
    </row>
    <row r="146" spans="1:9" x14ac:dyDescent="0.25">
      <c r="A146" s="64">
        <v>71</v>
      </c>
      <c r="B146" s="47" t="s">
        <v>194</v>
      </c>
      <c r="C146" s="48">
        <v>2.4</v>
      </c>
      <c r="D146" s="8">
        <v>95</v>
      </c>
      <c r="E146" s="43">
        <v>6</v>
      </c>
      <c r="F146" s="7">
        <f t="shared" si="38"/>
        <v>2.530125</v>
      </c>
      <c r="G146" s="26">
        <v>835695</v>
      </c>
      <c r="H146" s="13">
        <f t="shared" si="33"/>
        <v>1.1232459677419353</v>
      </c>
      <c r="I146" s="62">
        <f t="shared" si="34"/>
        <v>0.84412741935483881</v>
      </c>
    </row>
    <row r="147" spans="1:9" ht="31.5" x14ac:dyDescent="0.25">
      <c r="A147" s="64">
        <v>72</v>
      </c>
      <c r="B147" s="55" t="s">
        <v>150</v>
      </c>
      <c r="C147" s="48">
        <v>6.5</v>
      </c>
      <c r="D147" s="8">
        <v>95</v>
      </c>
      <c r="E147" s="43">
        <v>6</v>
      </c>
      <c r="F147" s="7">
        <f t="shared" si="38"/>
        <v>2.530125</v>
      </c>
      <c r="G147" s="26">
        <v>96462</v>
      </c>
      <c r="H147" s="23">
        <f t="shared" si="33"/>
        <v>0.12965322580645161</v>
      </c>
      <c r="I147" s="62">
        <f t="shared" si="34"/>
        <v>1.4402830645161291</v>
      </c>
    </row>
    <row r="148" spans="1:9" x14ac:dyDescent="0.25">
      <c r="A148" s="64">
        <v>73</v>
      </c>
      <c r="B148" s="47" t="s">
        <v>176</v>
      </c>
      <c r="C148" s="48">
        <v>0.9</v>
      </c>
      <c r="D148" s="8">
        <v>95</v>
      </c>
      <c r="E148" s="43">
        <v>6</v>
      </c>
      <c r="F148" s="7">
        <f t="shared" si="38"/>
        <v>2.530125</v>
      </c>
      <c r="G148" s="26">
        <v>0</v>
      </c>
      <c r="H148" s="13">
        <f t="shared" si="33"/>
        <v>0</v>
      </c>
      <c r="I148" s="62">
        <f>(F148-H148)*0.6</f>
        <v>1.5180749999999998</v>
      </c>
    </row>
    <row r="149" spans="1:9" x14ac:dyDescent="0.25">
      <c r="A149" s="64">
        <v>74</v>
      </c>
      <c r="B149" s="47" t="s">
        <v>177</v>
      </c>
      <c r="C149" s="48">
        <v>0.9</v>
      </c>
      <c r="D149" s="8">
        <v>95</v>
      </c>
      <c r="E149" s="43">
        <v>6</v>
      </c>
      <c r="F149" s="7">
        <f t="shared" si="38"/>
        <v>2.530125</v>
      </c>
      <c r="G149" s="26">
        <v>318312</v>
      </c>
      <c r="H149" s="23">
        <f t="shared" si="33"/>
        <v>0.42783870967741933</v>
      </c>
      <c r="I149" s="62">
        <f t="shared" si="34"/>
        <v>1.2613717741935482</v>
      </c>
    </row>
    <row r="150" spans="1:9" x14ac:dyDescent="0.25">
      <c r="A150" s="64">
        <v>75</v>
      </c>
      <c r="B150" s="47" t="s">
        <v>132</v>
      </c>
      <c r="C150" s="48">
        <v>0.8</v>
      </c>
      <c r="D150" s="8">
        <v>95</v>
      </c>
      <c r="E150" s="43">
        <v>6</v>
      </c>
      <c r="F150" s="7">
        <f t="shared" si="38"/>
        <v>2.530125</v>
      </c>
      <c r="G150" s="26">
        <v>998832</v>
      </c>
      <c r="H150" s="13">
        <f t="shared" si="33"/>
        <v>1.342516129032258</v>
      </c>
      <c r="I150" s="62">
        <f t="shared" si="34"/>
        <v>0.71256532258064509</v>
      </c>
    </row>
    <row r="151" spans="1:9" x14ac:dyDescent="0.25">
      <c r="A151" s="64">
        <v>76</v>
      </c>
      <c r="B151" s="47" t="s">
        <v>133</v>
      </c>
      <c r="C151" s="48">
        <v>1.2</v>
      </c>
      <c r="D151" s="8">
        <v>95</v>
      </c>
      <c r="E151" s="43">
        <v>6</v>
      </c>
      <c r="F151" s="7">
        <f t="shared" si="38"/>
        <v>2.530125</v>
      </c>
      <c r="G151" s="26">
        <v>641808</v>
      </c>
      <c r="H151" s="23">
        <f t="shared" si="33"/>
        <v>0.86264516129032254</v>
      </c>
      <c r="I151" s="62">
        <f t="shared" si="34"/>
        <v>1.0004879032258065</v>
      </c>
    </row>
    <row r="152" spans="1:9" x14ac:dyDescent="0.25">
      <c r="A152" s="64">
        <v>77</v>
      </c>
      <c r="B152" s="47" t="s">
        <v>134</v>
      </c>
      <c r="C152" s="48">
        <v>0.65</v>
      </c>
      <c r="D152" s="8">
        <v>95</v>
      </c>
      <c r="E152" s="43">
        <v>6</v>
      </c>
      <c r="F152" s="7">
        <f t="shared" si="38"/>
        <v>2.530125</v>
      </c>
      <c r="G152" s="26">
        <v>680688</v>
      </c>
      <c r="H152" s="13">
        <f t="shared" si="33"/>
        <v>0.91490322580645156</v>
      </c>
      <c r="I152" s="62">
        <f t="shared" si="34"/>
        <v>0.96913306451612902</v>
      </c>
    </row>
    <row r="153" spans="1:9" x14ac:dyDescent="0.25">
      <c r="A153" s="64">
        <v>78</v>
      </c>
      <c r="B153" s="47" t="s">
        <v>135</v>
      </c>
      <c r="C153" s="51">
        <v>2.1</v>
      </c>
      <c r="D153" s="10">
        <v>95</v>
      </c>
      <c r="E153" s="43">
        <v>6</v>
      </c>
      <c r="F153" s="7">
        <f t="shared" si="38"/>
        <v>2.530125</v>
      </c>
      <c r="G153" s="26">
        <v>521880</v>
      </c>
      <c r="H153" s="23">
        <f t="shared" si="33"/>
        <v>0.70145161290322589</v>
      </c>
      <c r="I153" s="62">
        <f t="shared" si="34"/>
        <v>1.0972040322580643</v>
      </c>
    </row>
    <row r="154" spans="1:9" x14ac:dyDescent="0.25">
      <c r="A154" s="64">
        <v>79</v>
      </c>
      <c r="B154" s="47" t="s">
        <v>136</v>
      </c>
      <c r="C154" s="51">
        <v>0.6</v>
      </c>
      <c r="D154" s="10">
        <v>70</v>
      </c>
      <c r="E154" s="43">
        <v>6</v>
      </c>
      <c r="F154" s="7">
        <f t="shared" ref="F154" si="39">265*1.73*6*0.7/1000</f>
        <v>1.9254899999999997</v>
      </c>
      <c r="G154" s="26">
        <v>0</v>
      </c>
      <c r="H154" s="13">
        <f t="shared" si="33"/>
        <v>0</v>
      </c>
      <c r="I154" s="62">
        <f t="shared" si="34"/>
        <v>1.1552939999999998</v>
      </c>
    </row>
    <row r="155" spans="1:9" ht="31.5" x14ac:dyDescent="0.25">
      <c r="A155" s="64">
        <v>80</v>
      </c>
      <c r="B155" s="55" t="s">
        <v>148</v>
      </c>
      <c r="C155" s="48">
        <v>1.62</v>
      </c>
      <c r="D155" s="8">
        <v>95</v>
      </c>
      <c r="E155" s="43">
        <v>6</v>
      </c>
      <c r="F155" s="7">
        <f t="shared" ref="F155:F161" si="40">325*1.73*6*0.75/1000</f>
        <v>2.530125</v>
      </c>
      <c r="G155" s="26">
        <v>342108</v>
      </c>
      <c r="H155" s="23">
        <f t="shared" si="33"/>
        <v>0.45982258064516129</v>
      </c>
      <c r="I155" s="62">
        <f t="shared" si="34"/>
        <v>1.2421814516129033</v>
      </c>
    </row>
    <row r="156" spans="1:9" x14ac:dyDescent="0.25">
      <c r="A156" s="64">
        <v>81</v>
      </c>
      <c r="B156" s="47" t="s">
        <v>137</v>
      </c>
      <c r="C156" s="48">
        <v>3.15</v>
      </c>
      <c r="D156" s="8">
        <v>95</v>
      </c>
      <c r="E156" s="43">
        <v>6</v>
      </c>
      <c r="F156" s="7">
        <f>325*1.73*6*0.7/1000</f>
        <v>2.3614499999999996</v>
      </c>
      <c r="G156" s="26">
        <v>661644</v>
      </c>
      <c r="H156" s="13">
        <f t="shared" si="33"/>
        <v>0.88930645161290323</v>
      </c>
      <c r="I156" s="62">
        <f t="shared" si="34"/>
        <v>0.88328612903225778</v>
      </c>
    </row>
    <row r="157" spans="1:9" x14ac:dyDescent="0.25">
      <c r="A157" s="64">
        <v>82</v>
      </c>
      <c r="B157" s="9" t="s">
        <v>138</v>
      </c>
      <c r="C157" s="48">
        <v>1.2</v>
      </c>
      <c r="D157" s="8">
        <v>95</v>
      </c>
      <c r="E157" s="43">
        <v>6</v>
      </c>
      <c r="F157" s="7">
        <f t="shared" si="40"/>
        <v>2.530125</v>
      </c>
      <c r="G157" s="26">
        <v>21132</v>
      </c>
      <c r="H157" s="23">
        <f t="shared" si="33"/>
        <v>2.8403225806451611E-2</v>
      </c>
      <c r="I157" s="62">
        <f t="shared" si="34"/>
        <v>1.5010330645161289</v>
      </c>
    </row>
    <row r="158" spans="1:9" x14ac:dyDescent="0.25">
      <c r="A158" s="64">
        <v>83</v>
      </c>
      <c r="B158" s="9" t="s">
        <v>139</v>
      </c>
      <c r="C158" s="48">
        <v>3.6</v>
      </c>
      <c r="D158" s="8">
        <v>95</v>
      </c>
      <c r="E158" s="43">
        <v>6</v>
      </c>
      <c r="F158" s="7">
        <f t="shared" si="40"/>
        <v>2.530125</v>
      </c>
      <c r="G158" s="26">
        <v>304524</v>
      </c>
      <c r="H158" s="23">
        <f t="shared" si="33"/>
        <v>0.40930645161290324</v>
      </c>
      <c r="I158" s="62">
        <f t="shared" si="34"/>
        <v>1.2724911290322578</v>
      </c>
    </row>
    <row r="159" spans="1:9" x14ac:dyDescent="0.25">
      <c r="A159" s="64">
        <v>84</v>
      </c>
      <c r="B159" s="9" t="s">
        <v>140</v>
      </c>
      <c r="C159" s="48">
        <v>5.85</v>
      </c>
      <c r="D159" s="8">
        <v>95</v>
      </c>
      <c r="E159" s="43">
        <v>6</v>
      </c>
      <c r="F159" s="7">
        <f>325*1.73*6*0.64/1000</f>
        <v>2.1590400000000001</v>
      </c>
      <c r="G159" s="26">
        <v>317484</v>
      </c>
      <c r="H159" s="13">
        <f t="shared" si="33"/>
        <v>0.4267258064516129</v>
      </c>
      <c r="I159" s="62">
        <f t="shared" si="34"/>
        <v>1.0393885161290324</v>
      </c>
    </row>
    <row r="160" spans="1:9" x14ac:dyDescent="0.25">
      <c r="A160" s="64">
        <v>85</v>
      </c>
      <c r="B160" s="9" t="s">
        <v>141</v>
      </c>
      <c r="C160" s="48">
        <v>2.1</v>
      </c>
      <c r="D160" s="8">
        <v>95</v>
      </c>
      <c r="E160" s="43">
        <v>6</v>
      </c>
      <c r="F160" s="7">
        <f t="shared" si="40"/>
        <v>2.530125</v>
      </c>
      <c r="G160" s="26">
        <v>170244</v>
      </c>
      <c r="H160" s="23">
        <f t="shared" si="33"/>
        <v>0.22882258064516128</v>
      </c>
      <c r="I160" s="62">
        <f t="shared" si="34"/>
        <v>1.3807814516129031</v>
      </c>
    </row>
    <row r="161" spans="1:9" x14ac:dyDescent="0.25">
      <c r="A161" s="64">
        <v>86</v>
      </c>
      <c r="B161" s="9" t="s">
        <v>142</v>
      </c>
      <c r="C161" s="51">
        <v>0.8</v>
      </c>
      <c r="D161" s="10">
        <v>95</v>
      </c>
      <c r="E161" s="43">
        <v>6</v>
      </c>
      <c r="F161" s="7">
        <f t="shared" si="40"/>
        <v>2.530125</v>
      </c>
      <c r="G161" s="26">
        <v>0</v>
      </c>
      <c r="H161" s="13">
        <f t="shared" si="33"/>
        <v>0</v>
      </c>
      <c r="I161" s="62">
        <f t="shared" si="34"/>
        <v>1.5180749999999998</v>
      </c>
    </row>
    <row r="162" spans="1:9" x14ac:dyDescent="0.25">
      <c r="A162" s="64">
        <v>87</v>
      </c>
      <c r="B162" s="47" t="s">
        <v>152</v>
      </c>
      <c r="C162" s="41">
        <v>2.0259999999999998</v>
      </c>
      <c r="D162" s="32">
        <v>95</v>
      </c>
      <c r="E162" s="43">
        <v>6</v>
      </c>
      <c r="F162" s="7">
        <f>325*1.73*6*0.7/1000</f>
        <v>2.3614499999999996</v>
      </c>
      <c r="G162" s="26">
        <v>346680</v>
      </c>
      <c r="H162" s="23">
        <f t="shared" si="33"/>
        <v>0.46596774193548385</v>
      </c>
      <c r="I162" s="62">
        <f t="shared" si="34"/>
        <v>1.1372893548387095</v>
      </c>
    </row>
    <row r="163" spans="1:9" x14ac:dyDescent="0.25">
      <c r="A163" s="64">
        <v>88</v>
      </c>
      <c r="B163" s="47" t="s">
        <v>153</v>
      </c>
      <c r="C163" s="41">
        <v>1.48</v>
      </c>
      <c r="D163" s="32">
        <v>95</v>
      </c>
      <c r="E163" s="43">
        <v>6</v>
      </c>
      <c r="F163" s="7">
        <f t="shared" ref="F163:F166" si="41">325*1.73*6*0.75/1000</f>
        <v>2.530125</v>
      </c>
      <c r="G163" s="26">
        <v>101687.99999999974</v>
      </c>
      <c r="H163" s="23">
        <f t="shared" si="33"/>
        <v>0.13667741935483835</v>
      </c>
      <c r="I163" s="62">
        <f t="shared" si="34"/>
        <v>1.4360685483870967</v>
      </c>
    </row>
    <row r="164" spans="1:9" x14ac:dyDescent="0.25">
      <c r="A164" s="64">
        <v>89</v>
      </c>
      <c r="B164" s="47" t="s">
        <v>154</v>
      </c>
      <c r="C164" s="41">
        <v>4.66</v>
      </c>
      <c r="D164" s="32">
        <v>95</v>
      </c>
      <c r="E164" s="43">
        <v>6</v>
      </c>
      <c r="F164" s="7">
        <f>325*1.73*6*0.64/1000</f>
        <v>2.1590400000000001</v>
      </c>
      <c r="G164" s="26">
        <v>155088</v>
      </c>
      <c r="H164" s="13">
        <f t="shared" si="33"/>
        <v>0.20845161290322578</v>
      </c>
      <c r="I164" s="62">
        <f t="shared" si="34"/>
        <v>1.1703530322580646</v>
      </c>
    </row>
    <row r="165" spans="1:9" x14ac:dyDescent="0.25">
      <c r="A165" s="64">
        <v>90</v>
      </c>
      <c r="B165" s="47" t="s">
        <v>155</v>
      </c>
      <c r="C165" s="41">
        <v>2.3809999999999998</v>
      </c>
      <c r="D165" s="32">
        <v>95</v>
      </c>
      <c r="E165" s="43">
        <v>6</v>
      </c>
      <c r="F165" s="7">
        <f t="shared" si="41"/>
        <v>2.530125</v>
      </c>
      <c r="G165" s="26">
        <v>37200</v>
      </c>
      <c r="H165" s="23">
        <f t="shared" si="33"/>
        <v>0.05</v>
      </c>
      <c r="I165" s="62">
        <f t="shared" si="34"/>
        <v>1.488075</v>
      </c>
    </row>
    <row r="166" spans="1:9" x14ac:dyDescent="0.25">
      <c r="A166" s="64">
        <v>91</v>
      </c>
      <c r="B166" s="47" t="s">
        <v>156</v>
      </c>
      <c r="C166" s="41">
        <v>3.5</v>
      </c>
      <c r="D166" s="32">
        <v>95</v>
      </c>
      <c r="E166" s="43">
        <v>6</v>
      </c>
      <c r="F166" s="7">
        <f t="shared" si="41"/>
        <v>2.530125</v>
      </c>
      <c r="G166" s="26">
        <v>175896</v>
      </c>
      <c r="H166" s="13">
        <f t="shared" si="33"/>
        <v>0.23641935483870966</v>
      </c>
      <c r="I166" s="62">
        <f t="shared" si="34"/>
        <v>1.3762233870967742</v>
      </c>
    </row>
    <row r="167" spans="1:9" x14ac:dyDescent="0.25">
      <c r="A167" s="64">
        <v>92</v>
      </c>
      <c r="B167" s="47" t="s">
        <v>195</v>
      </c>
      <c r="C167" s="41">
        <v>0.35</v>
      </c>
      <c r="D167" s="32">
        <v>70</v>
      </c>
      <c r="E167" s="43">
        <v>6</v>
      </c>
      <c r="F167" s="7">
        <f t="shared" ref="F167" si="42">265*1.73*6*0.7/1000</f>
        <v>1.9254899999999997</v>
      </c>
      <c r="G167" s="26">
        <v>17952</v>
      </c>
      <c r="H167" s="23">
        <f t="shared" si="33"/>
        <v>2.4129032258064516E-2</v>
      </c>
      <c r="I167" s="62">
        <f t="shared" si="34"/>
        <v>1.1408165806451611</v>
      </c>
    </row>
    <row r="168" spans="1:9" x14ac:dyDescent="0.25">
      <c r="A168" s="64">
        <v>93</v>
      </c>
      <c r="B168" s="47" t="s">
        <v>165</v>
      </c>
      <c r="C168" s="41">
        <v>1.087</v>
      </c>
      <c r="D168" s="32">
        <v>95</v>
      </c>
      <c r="E168" s="43">
        <v>6</v>
      </c>
      <c r="F168" s="7">
        <f t="shared" ref="F168:F169" si="43">325*1.73*6*0.75/1000</f>
        <v>2.530125</v>
      </c>
      <c r="G168" s="26">
        <v>146574</v>
      </c>
      <c r="H168" s="13">
        <f t="shared" si="33"/>
        <v>0.19700806451612901</v>
      </c>
      <c r="I168" s="62">
        <f t="shared" si="34"/>
        <v>1.3998701612903224</v>
      </c>
    </row>
    <row r="169" spans="1:9" x14ac:dyDescent="0.25">
      <c r="A169" s="64">
        <v>94</v>
      </c>
      <c r="B169" s="47" t="s">
        <v>196</v>
      </c>
      <c r="C169" s="41">
        <v>0.86</v>
      </c>
      <c r="D169" s="32">
        <v>95</v>
      </c>
      <c r="E169" s="43">
        <v>6</v>
      </c>
      <c r="F169" s="7">
        <f t="shared" si="43"/>
        <v>2.530125</v>
      </c>
      <c r="G169" s="26">
        <v>66528.000000000058</v>
      </c>
      <c r="H169" s="13">
        <f t="shared" si="33"/>
        <v>8.9419354838709747E-2</v>
      </c>
      <c r="I169" s="62">
        <f t="shared" si="34"/>
        <v>1.464423387096774</v>
      </c>
    </row>
    <row r="170" spans="1:9" x14ac:dyDescent="0.25">
      <c r="A170" s="64">
        <v>95</v>
      </c>
      <c r="B170" s="47" t="s">
        <v>149</v>
      </c>
      <c r="C170" s="41">
        <v>1.4</v>
      </c>
      <c r="D170" s="32">
        <v>50</v>
      </c>
      <c r="E170" s="43">
        <v>6</v>
      </c>
      <c r="F170" s="7">
        <f t="shared" ref="F170" si="44">215*1.73*6*0.8/1000</f>
        <v>1.7853599999999998</v>
      </c>
      <c r="G170" s="26">
        <v>96120</v>
      </c>
      <c r="H170" s="23">
        <f t="shared" si="33"/>
        <v>0.12919354838709676</v>
      </c>
      <c r="I170" s="62">
        <f t="shared" si="34"/>
        <v>0.99369987096774182</v>
      </c>
    </row>
    <row r="171" spans="1:9" ht="30" customHeight="1" x14ac:dyDescent="0.25">
      <c r="A171" s="64">
        <v>96</v>
      </c>
      <c r="B171" s="55" t="s">
        <v>187</v>
      </c>
      <c r="C171" s="41">
        <v>1.56</v>
      </c>
      <c r="D171" s="32">
        <v>95</v>
      </c>
      <c r="E171" s="43">
        <v>6</v>
      </c>
      <c r="F171" s="7">
        <f t="shared" ref="F171:F173" si="45">325*1.73*6*0.75/1000</f>
        <v>2.530125</v>
      </c>
      <c r="G171" s="26">
        <v>0</v>
      </c>
      <c r="H171" s="13">
        <f t="shared" si="33"/>
        <v>0</v>
      </c>
      <c r="I171" s="62">
        <f>(F171-H171)*0.8</f>
        <v>2.0241000000000002</v>
      </c>
    </row>
    <row r="172" spans="1:9" x14ac:dyDescent="0.25">
      <c r="A172" s="64">
        <v>97</v>
      </c>
      <c r="B172" s="47" t="s">
        <v>157</v>
      </c>
      <c r="C172" s="41">
        <v>2.512</v>
      </c>
      <c r="D172" s="32">
        <v>95</v>
      </c>
      <c r="E172" s="43">
        <v>6</v>
      </c>
      <c r="F172" s="7">
        <f>325*1.73*6*0.7/1000</f>
        <v>2.3614499999999996</v>
      </c>
      <c r="G172" s="26">
        <v>162888.00000000192</v>
      </c>
      <c r="H172" s="23">
        <f t="shared" si="33"/>
        <v>0.21893548387097034</v>
      </c>
      <c r="I172" s="62">
        <f t="shared" si="34"/>
        <v>1.2855087096774174</v>
      </c>
    </row>
    <row r="173" spans="1:9" x14ac:dyDescent="0.25">
      <c r="A173" s="64">
        <v>98</v>
      </c>
      <c r="B173" s="47" t="s">
        <v>158</v>
      </c>
      <c r="C173" s="41">
        <v>1.232</v>
      </c>
      <c r="D173" s="32">
        <v>95</v>
      </c>
      <c r="E173" s="43">
        <v>6</v>
      </c>
      <c r="F173" s="7">
        <f t="shared" si="45"/>
        <v>2.530125</v>
      </c>
      <c r="G173" s="26">
        <v>185640</v>
      </c>
      <c r="H173" s="13">
        <f t="shared" si="33"/>
        <v>0.24951612903225809</v>
      </c>
      <c r="I173" s="62">
        <f t="shared" si="34"/>
        <v>1.3683653225806451</v>
      </c>
    </row>
    <row r="174" spans="1:9" x14ac:dyDescent="0.25">
      <c r="A174" s="64">
        <v>99</v>
      </c>
      <c r="B174" s="47" t="s">
        <v>161</v>
      </c>
      <c r="C174" s="41">
        <v>4.9660000000000002</v>
      </c>
      <c r="D174" s="32">
        <v>95</v>
      </c>
      <c r="E174" s="43">
        <v>6</v>
      </c>
      <c r="F174" s="7">
        <f>325*1.73*6*0.64/1000</f>
        <v>2.1590400000000001</v>
      </c>
      <c r="G174" s="26">
        <v>327936</v>
      </c>
      <c r="H174" s="23">
        <f t="shared" si="33"/>
        <v>0.44077419354838709</v>
      </c>
      <c r="I174" s="62">
        <f t="shared" si="34"/>
        <v>1.0309594838709677</v>
      </c>
    </row>
    <row r="175" spans="1:9" x14ac:dyDescent="0.25">
      <c r="A175" s="64">
        <v>100</v>
      </c>
      <c r="B175" s="47" t="s">
        <v>166</v>
      </c>
      <c r="C175" s="41">
        <v>2.6659999999999999</v>
      </c>
      <c r="D175" s="32">
        <v>95</v>
      </c>
      <c r="E175" s="43">
        <v>6</v>
      </c>
      <c r="F175" s="7">
        <f>325*1.73*6*0.7/1000</f>
        <v>2.3614499999999996</v>
      </c>
      <c r="G175" s="26">
        <v>268080</v>
      </c>
      <c r="H175" s="13">
        <f t="shared" si="33"/>
        <v>0.36032258064516126</v>
      </c>
      <c r="I175" s="62">
        <f>(F175-H175)*0.8</f>
        <v>1.6009019354838707</v>
      </c>
    </row>
    <row r="176" spans="1:9" x14ac:dyDescent="0.25">
      <c r="A176" s="64">
        <v>101</v>
      </c>
      <c r="B176" s="47" t="s">
        <v>160</v>
      </c>
      <c r="C176" s="41">
        <v>2.4039999999999999</v>
      </c>
      <c r="D176" s="32">
        <v>70</v>
      </c>
      <c r="E176" s="43">
        <v>6</v>
      </c>
      <c r="F176" s="7">
        <f>265*1.73*6*0.67/1000</f>
        <v>1.8429690000000001</v>
      </c>
      <c r="G176" s="26">
        <v>301872</v>
      </c>
      <c r="H176" s="23">
        <f t="shared" si="33"/>
        <v>0.405741935483871</v>
      </c>
      <c r="I176" s="62">
        <f t="shared" si="34"/>
        <v>0.86233623870967746</v>
      </c>
    </row>
    <row r="177" spans="1:9" x14ac:dyDescent="0.25">
      <c r="A177" s="64">
        <v>102</v>
      </c>
      <c r="B177" s="47" t="s">
        <v>159</v>
      </c>
      <c r="C177" s="41">
        <v>3.7480000000000002</v>
      </c>
      <c r="D177" s="32">
        <v>95</v>
      </c>
      <c r="E177" s="43">
        <v>6</v>
      </c>
      <c r="F177" s="7">
        <f>325*1.73*6*0.7/1000</f>
        <v>2.3614499999999996</v>
      </c>
      <c r="G177" s="26">
        <v>47352</v>
      </c>
      <c r="H177" s="13">
        <f t="shared" si="33"/>
        <v>6.3645161290322577E-2</v>
      </c>
      <c r="I177" s="62">
        <f t="shared" si="34"/>
        <v>1.3786829032258061</v>
      </c>
    </row>
    <row r="178" spans="1:9" x14ac:dyDescent="0.25">
      <c r="A178" s="64">
        <v>103</v>
      </c>
      <c r="B178" s="47" t="s">
        <v>186</v>
      </c>
      <c r="C178" s="41">
        <v>0.55000000000000004</v>
      </c>
      <c r="D178" s="32">
        <v>50</v>
      </c>
      <c r="E178" s="43">
        <v>6</v>
      </c>
      <c r="F178" s="7">
        <f>215*1.73*6*0.8/1000</f>
        <v>1.7853599999999998</v>
      </c>
      <c r="G178" s="26">
        <v>23448</v>
      </c>
      <c r="H178" s="23">
        <f t="shared" ref="H178:H184" si="46">G178/744/1000</f>
        <v>3.1516129032258061E-2</v>
      </c>
      <c r="I178" s="62">
        <f t="shared" si="34"/>
        <v>1.052306322580645</v>
      </c>
    </row>
    <row r="179" spans="1:9" x14ac:dyDescent="0.25">
      <c r="A179" s="64">
        <v>104</v>
      </c>
      <c r="B179" s="47" t="s">
        <v>185</v>
      </c>
      <c r="C179" s="41">
        <v>2.1</v>
      </c>
      <c r="D179" s="32">
        <v>50</v>
      </c>
      <c r="E179" s="43">
        <v>6</v>
      </c>
      <c r="F179" s="7">
        <f t="shared" ref="F179:F182" si="47">215*1.73*6*0.8/1000</f>
        <v>1.7853599999999998</v>
      </c>
      <c r="G179" s="26">
        <v>0</v>
      </c>
      <c r="H179" s="23">
        <f t="shared" si="46"/>
        <v>0</v>
      </c>
      <c r="I179" s="62">
        <f t="shared" si="34"/>
        <v>1.0712159999999999</v>
      </c>
    </row>
    <row r="180" spans="1:9" x14ac:dyDescent="0.25">
      <c r="A180" s="64">
        <v>105</v>
      </c>
      <c r="B180" s="47" t="s">
        <v>180</v>
      </c>
      <c r="C180" s="41">
        <v>1.9419999999999999</v>
      </c>
      <c r="D180" s="32">
        <v>50</v>
      </c>
      <c r="E180" s="43">
        <v>6</v>
      </c>
      <c r="F180" s="7">
        <f t="shared" si="47"/>
        <v>1.7853599999999998</v>
      </c>
      <c r="G180" s="26">
        <v>372192</v>
      </c>
      <c r="H180" s="23">
        <f t="shared" si="46"/>
        <v>0.50025806451612898</v>
      </c>
      <c r="I180" s="62">
        <f t="shared" si="34"/>
        <v>0.77106116129032254</v>
      </c>
    </row>
    <row r="181" spans="1:9" x14ac:dyDescent="0.25">
      <c r="A181" s="64">
        <v>106</v>
      </c>
      <c r="B181" s="47" t="s">
        <v>183</v>
      </c>
      <c r="C181" s="41">
        <v>2.82</v>
      </c>
      <c r="D181" s="32">
        <v>50</v>
      </c>
      <c r="E181" s="43">
        <v>6</v>
      </c>
      <c r="F181" s="7">
        <f t="shared" si="47"/>
        <v>1.7853599999999998</v>
      </c>
      <c r="G181" s="26">
        <v>447552</v>
      </c>
      <c r="H181" s="23">
        <f t="shared" si="46"/>
        <v>0.60154838709677416</v>
      </c>
      <c r="I181" s="62">
        <f t="shared" si="34"/>
        <v>0.71028696774193534</v>
      </c>
    </row>
    <row r="182" spans="1:9" x14ac:dyDescent="0.25">
      <c r="A182" s="64">
        <v>107</v>
      </c>
      <c r="B182" s="47" t="s">
        <v>182</v>
      </c>
      <c r="C182" s="41">
        <v>3.11</v>
      </c>
      <c r="D182" s="32">
        <v>50</v>
      </c>
      <c r="E182" s="43">
        <v>6</v>
      </c>
      <c r="F182" s="7">
        <f t="shared" si="47"/>
        <v>1.7853599999999998</v>
      </c>
      <c r="G182" s="26">
        <v>165060.00000000131</v>
      </c>
      <c r="H182" s="23">
        <f t="shared" si="46"/>
        <v>0.22185483870967918</v>
      </c>
      <c r="I182" s="62">
        <f t="shared" si="34"/>
        <v>0.93810309677419235</v>
      </c>
    </row>
    <row r="183" spans="1:9" x14ac:dyDescent="0.25">
      <c r="A183" s="64">
        <v>108</v>
      </c>
      <c r="B183" s="47" t="s">
        <v>181</v>
      </c>
      <c r="C183" s="41">
        <v>6.5650000000000004</v>
      </c>
      <c r="D183" s="32">
        <v>70</v>
      </c>
      <c r="E183" s="43">
        <v>6</v>
      </c>
      <c r="F183" s="7">
        <f t="shared" ref="F183:F184" si="48">265*1.73*6*0.7/1000</f>
        <v>1.9254899999999997</v>
      </c>
      <c r="G183" s="26">
        <v>5220</v>
      </c>
      <c r="H183" s="23">
        <f t="shared" si="46"/>
        <v>7.0161290322580646E-3</v>
      </c>
      <c r="I183" s="62">
        <f t="shared" si="34"/>
        <v>1.1510843225806449</v>
      </c>
    </row>
    <row r="184" spans="1:9" x14ac:dyDescent="0.25">
      <c r="A184" s="64">
        <v>109</v>
      </c>
      <c r="B184" s="47" t="s">
        <v>184</v>
      </c>
      <c r="C184" s="41">
        <v>3.3</v>
      </c>
      <c r="D184" s="32">
        <v>70</v>
      </c>
      <c r="E184" s="43">
        <v>6</v>
      </c>
      <c r="F184" s="7">
        <f t="shared" si="48"/>
        <v>1.9254899999999997</v>
      </c>
      <c r="G184" s="26">
        <v>64464</v>
      </c>
      <c r="H184" s="23">
        <f t="shared" si="46"/>
        <v>8.664516129032257E-2</v>
      </c>
      <c r="I184" s="62">
        <f t="shared" si="34"/>
        <v>1.1033069032258063</v>
      </c>
    </row>
    <row r="185" spans="1:9" x14ac:dyDescent="0.25">
      <c r="A185" s="74"/>
      <c r="B185" s="75"/>
      <c r="C185" s="76"/>
      <c r="D185" s="77"/>
      <c r="E185" s="78"/>
      <c r="F185" s="79"/>
      <c r="G185" s="80"/>
      <c r="H185" s="81"/>
      <c r="I185" s="82"/>
    </row>
    <row r="186" spans="1:9" x14ac:dyDescent="0.25">
      <c r="A186" s="74"/>
      <c r="B186" s="75"/>
      <c r="C186" s="76"/>
      <c r="D186" s="77"/>
      <c r="E186" s="78"/>
      <c r="F186" s="79"/>
      <c r="G186" s="80"/>
      <c r="H186" s="81"/>
      <c r="I186" s="82"/>
    </row>
    <row r="187" spans="1:9" x14ac:dyDescent="0.25">
      <c r="B187" s="44" t="s">
        <v>167</v>
      </c>
      <c r="E187" s="16" t="s">
        <v>168</v>
      </c>
    </row>
    <row r="189" spans="1:9" x14ac:dyDescent="0.25">
      <c r="B189" s="44" t="s">
        <v>169</v>
      </c>
      <c r="E189" s="16" t="s">
        <v>170</v>
      </c>
    </row>
    <row r="191" spans="1:9" ht="19.5" customHeight="1" x14ac:dyDescent="0.25">
      <c r="B191" s="73" t="s">
        <v>171</v>
      </c>
    </row>
    <row r="192" spans="1:9" ht="18" customHeight="1" x14ac:dyDescent="0.25"/>
  </sheetData>
  <mergeCells count="2">
    <mergeCell ref="A2:I2"/>
    <mergeCell ref="A1:G1"/>
  </mergeCells>
  <phoneticPr fontId="17" type="noConversion"/>
  <pageMargins left="0.7" right="0.7" top="0.75" bottom="0.7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2025-06-25T05:57:24Z</dcterms:modified>
</cp:coreProperties>
</file>