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684"/>
  </bookViews>
  <sheets>
    <sheet name="Лист1" sheetId="7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5" i="7" l="1"/>
  <c r="AC125" i="7" s="1"/>
  <c r="I125" i="7"/>
  <c r="K125" i="7" s="1"/>
  <c r="AB124" i="7"/>
  <c r="AC124" i="7" s="1"/>
  <c r="J124" i="7"/>
  <c r="I124" i="7"/>
  <c r="AE123" i="7"/>
  <c r="AB123" i="7"/>
  <c r="AC123" i="7" s="1"/>
  <c r="J123" i="7"/>
  <c r="I123" i="7"/>
  <c r="AB122" i="7"/>
  <c r="AC122" i="7" s="1"/>
  <c r="J122" i="7"/>
  <c r="I122" i="7"/>
  <c r="AB121" i="7"/>
  <c r="AC121" i="7" s="1"/>
  <c r="J121" i="7"/>
  <c r="I121" i="7"/>
  <c r="AB120" i="7"/>
  <c r="AC120" i="7" s="1"/>
  <c r="J120" i="7"/>
  <c r="I120" i="7"/>
  <c r="M120" i="7" s="1"/>
  <c r="AB119" i="7"/>
  <c r="AC119" i="7" s="1"/>
  <c r="J119" i="7"/>
  <c r="I119" i="7"/>
  <c r="AB118" i="7"/>
  <c r="AC118" i="7" s="1"/>
  <c r="J118" i="7"/>
  <c r="I118" i="7"/>
  <c r="N118" i="7" s="1"/>
  <c r="AB117" i="7"/>
  <c r="AC117" i="7" s="1"/>
  <c r="J117" i="7"/>
  <c r="I117" i="7"/>
  <c r="AB116" i="7"/>
  <c r="AC116" i="7" s="1"/>
  <c r="J116" i="7"/>
  <c r="I116" i="7"/>
  <c r="M116" i="7" s="1"/>
  <c r="AB115" i="7"/>
  <c r="AC115" i="7" s="1"/>
  <c r="J115" i="7"/>
  <c r="I115" i="7"/>
  <c r="AB114" i="7"/>
  <c r="AC114" i="7" s="1"/>
  <c r="J114" i="7"/>
  <c r="I114" i="7"/>
  <c r="M114" i="7" s="1"/>
  <c r="AB113" i="7"/>
  <c r="AC113" i="7" s="1"/>
  <c r="J113" i="7"/>
  <c r="I113" i="7"/>
  <c r="AC112" i="7"/>
  <c r="J112" i="7"/>
  <c r="I112" i="7"/>
  <c r="AB111" i="7"/>
  <c r="AC111" i="7" s="1"/>
  <c r="J111" i="7"/>
  <c r="I111" i="7"/>
  <c r="N111" i="7" s="1"/>
  <c r="AC98" i="7"/>
  <c r="AD98" i="7" s="1"/>
  <c r="M98" i="7"/>
  <c r="K98" i="7"/>
  <c r="AC97" i="7"/>
  <c r="AD97" i="7" s="1"/>
  <c r="N97" i="7"/>
  <c r="J97" i="7"/>
  <c r="K97" i="7" s="1"/>
  <c r="AC96" i="7"/>
  <c r="I96" i="7"/>
  <c r="K96" i="7" s="1"/>
  <c r="AC95" i="7"/>
  <c r="J95" i="7"/>
  <c r="I95" i="7"/>
  <c r="AD95" i="7" s="1"/>
  <c r="AC94" i="7"/>
  <c r="J94" i="7"/>
  <c r="I94" i="7"/>
  <c r="AD94" i="7" s="1"/>
  <c r="AB81" i="7"/>
  <c r="AC81" i="7" s="1"/>
  <c r="I81" i="7"/>
  <c r="AB80" i="7"/>
  <c r="AC80" i="7" s="1"/>
  <c r="AD80" i="7" s="1"/>
  <c r="N80" i="7"/>
  <c r="J80" i="7"/>
  <c r="K80" i="7" s="1"/>
  <c r="AB79" i="7"/>
  <c r="AC79" i="7" s="1"/>
  <c r="J79" i="7"/>
  <c r="J78" i="7" s="1"/>
  <c r="I79" i="7"/>
  <c r="M78" i="7"/>
  <c r="AC65" i="7"/>
  <c r="I65" i="7"/>
  <c r="M65" i="7" s="1"/>
  <c r="AC64" i="7"/>
  <c r="J64" i="7"/>
  <c r="I64" i="7"/>
  <c r="AB63" i="7"/>
  <c r="AC63" i="7" s="1"/>
  <c r="J63" i="7"/>
  <c r="I63" i="7"/>
  <c r="M63" i="7" s="1"/>
  <c r="N62" i="7"/>
  <c r="AC50" i="7"/>
  <c r="I50" i="7"/>
  <c r="K50" i="7" s="1"/>
  <c r="AC49" i="7"/>
  <c r="J49" i="7"/>
  <c r="I49" i="7"/>
  <c r="AC48" i="7"/>
  <c r="I48" i="7"/>
  <c r="J48" i="7" s="1"/>
  <c r="J47" i="7" s="1"/>
  <c r="M47" i="7"/>
  <c r="I47" i="7"/>
  <c r="AC35" i="7"/>
  <c r="I35" i="7"/>
  <c r="AD35" i="7" s="1"/>
  <c r="AC34" i="7"/>
  <c r="I34" i="7"/>
  <c r="K34" i="7" s="1"/>
  <c r="AB33" i="7"/>
  <c r="AC33" i="7" s="1"/>
  <c r="I33" i="7"/>
  <c r="AC32" i="7"/>
  <c r="AD32" i="7" s="1"/>
  <c r="M32" i="7"/>
  <c r="K32" i="7"/>
  <c r="AC31" i="7"/>
  <c r="J31" i="7"/>
  <c r="I31" i="7"/>
  <c r="AD31" i="7" s="1"/>
  <c r="AC30" i="7"/>
  <c r="J30" i="7"/>
  <c r="I30" i="7"/>
  <c r="AD30" i="7" s="1"/>
  <c r="AC29" i="7"/>
  <c r="J29" i="7"/>
  <c r="I29" i="7"/>
  <c r="AD29" i="7" s="1"/>
  <c r="AC28" i="7"/>
  <c r="J28" i="7"/>
  <c r="I28" i="7"/>
  <c r="AD28" i="7" s="1"/>
  <c r="AC27" i="7"/>
  <c r="J27" i="7"/>
  <c r="I27" i="7"/>
  <c r="AD27" i="7" s="1"/>
  <c r="AC26" i="7"/>
  <c r="J26" i="7"/>
  <c r="I26" i="7"/>
  <c r="AD26" i="7" s="1"/>
  <c r="AC25" i="7"/>
  <c r="J25" i="7"/>
  <c r="I25" i="7"/>
  <c r="AD25" i="7" s="1"/>
  <c r="AC24" i="7"/>
  <c r="J24" i="7"/>
  <c r="I24" i="7"/>
  <c r="AD24" i="7" s="1"/>
  <c r="AC23" i="7"/>
  <c r="I23" i="7"/>
  <c r="AC22" i="7"/>
  <c r="J22" i="7"/>
  <c r="I22" i="7"/>
  <c r="AD22" i="7" s="1"/>
  <c r="AC21" i="7"/>
  <c r="J21" i="7"/>
  <c r="I21" i="7"/>
  <c r="AD21" i="7" s="1"/>
  <c r="AC20" i="7"/>
  <c r="I20" i="7"/>
  <c r="AC19" i="7"/>
  <c r="I19" i="7"/>
  <c r="K19" i="7" s="1"/>
  <c r="N18" i="7"/>
  <c r="J93" i="7" l="1"/>
  <c r="J110" i="7"/>
  <c r="K113" i="7"/>
  <c r="J62" i="7"/>
  <c r="K64" i="7"/>
  <c r="K65" i="7"/>
  <c r="K121" i="7"/>
  <c r="AD33" i="7"/>
  <c r="K35" i="7"/>
  <c r="K117" i="7"/>
  <c r="K124" i="7"/>
  <c r="AD48" i="7"/>
  <c r="K49" i="7"/>
  <c r="AD50" i="7"/>
  <c r="AD81" i="7"/>
  <c r="AD112" i="7"/>
  <c r="K115" i="7"/>
  <c r="K119" i="7"/>
  <c r="K123" i="7"/>
  <c r="AD125" i="7"/>
  <c r="AD49" i="7"/>
  <c r="M64" i="7"/>
  <c r="AD64" i="7"/>
  <c r="AD111" i="7"/>
  <c r="M113" i="7"/>
  <c r="AD113" i="7"/>
  <c r="M115" i="7"/>
  <c r="AD115" i="7"/>
  <c r="N117" i="7"/>
  <c r="AD117" i="7"/>
  <c r="M119" i="7"/>
  <c r="AD119" i="7"/>
  <c r="M121" i="7"/>
  <c r="AD121" i="7"/>
  <c r="M123" i="7"/>
  <c r="AD123" i="7"/>
  <c r="M124" i="7"/>
  <c r="AD124" i="7"/>
  <c r="I18" i="7"/>
  <c r="AD20" i="7"/>
  <c r="AD23" i="7"/>
  <c r="K48" i="7"/>
  <c r="N48" i="7"/>
  <c r="N47" i="7" s="1"/>
  <c r="M62" i="7"/>
  <c r="AD63" i="7"/>
  <c r="AD65" i="7"/>
  <c r="I78" i="7"/>
  <c r="AD79" i="7"/>
  <c r="N79" i="7"/>
  <c r="K112" i="7"/>
  <c r="M112" i="7"/>
  <c r="AD114" i="7"/>
  <c r="AD116" i="7"/>
  <c r="AD118" i="7"/>
  <c r="AD120" i="7"/>
  <c r="AF123" i="7"/>
  <c r="AD122" i="7"/>
  <c r="AG123" i="7"/>
  <c r="K111" i="7"/>
  <c r="K114" i="7"/>
  <c r="K116" i="7"/>
  <c r="K118" i="7"/>
  <c r="K120" i="7"/>
  <c r="K122" i="7"/>
  <c r="N125" i="7"/>
  <c r="N110" i="7" s="1"/>
  <c r="I110" i="7"/>
  <c r="J104" i="7" s="1"/>
  <c r="M122" i="7"/>
  <c r="M110" i="7" s="1"/>
  <c r="K94" i="7"/>
  <c r="K95" i="7"/>
  <c r="N96" i="7"/>
  <c r="N93" i="7" s="1"/>
  <c r="AD96" i="7"/>
  <c r="I93" i="7"/>
  <c r="M94" i="7"/>
  <c r="M95" i="7"/>
  <c r="N81" i="7"/>
  <c r="N78" i="7" s="1"/>
  <c r="K79" i="7"/>
  <c r="K81" i="7"/>
  <c r="K63" i="7"/>
  <c r="I62" i="7"/>
  <c r="M19" i="7"/>
  <c r="AD19" i="7"/>
  <c r="K20" i="7"/>
  <c r="K21" i="7"/>
  <c r="K22" i="7"/>
  <c r="K24" i="7"/>
  <c r="K25" i="7"/>
  <c r="K26" i="7"/>
  <c r="K27" i="7"/>
  <c r="K28" i="7"/>
  <c r="K29" i="7"/>
  <c r="K30" i="7"/>
  <c r="K31" i="7"/>
  <c r="M33" i="7"/>
  <c r="M34" i="7"/>
  <c r="AD34" i="7"/>
  <c r="M20" i="7"/>
  <c r="M21" i="7"/>
  <c r="M22" i="7"/>
  <c r="J23" i="7"/>
  <c r="J18" i="7" s="1"/>
  <c r="M23" i="7"/>
  <c r="M24" i="7"/>
  <c r="M25" i="7"/>
  <c r="M26" i="7"/>
  <c r="M27" i="7"/>
  <c r="M28" i="7"/>
  <c r="M29" i="7"/>
  <c r="M30" i="7"/>
  <c r="M31" i="7"/>
  <c r="K33" i="7"/>
  <c r="M35" i="7"/>
  <c r="K62" i="7" l="1"/>
  <c r="K47" i="7"/>
  <c r="K78" i="7"/>
  <c r="M93" i="7"/>
  <c r="K110" i="7"/>
  <c r="K93" i="7"/>
  <c r="M18" i="7"/>
  <c r="K23" i="7"/>
  <c r="K18" i="7" s="1"/>
</calcChain>
</file>

<file path=xl/sharedStrings.xml><?xml version="1.0" encoding="utf-8"?>
<sst xmlns="http://schemas.openxmlformats.org/spreadsheetml/2006/main" count="645" uniqueCount="165">
  <si>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</si>
  <si>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</si>
  <si>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</si>
  <si>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</si>
  <si>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</si>
  <si>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</si>
  <si>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</si>
  <si>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</si>
  <si>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</si>
  <si>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</si>
  <si>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</si>
  <si>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отклонение</t>
  </si>
  <si>
    <t>причины отклонения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</si>
  <si>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</si>
  <si>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</si>
  <si>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</si>
  <si>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</si>
  <si>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</si>
  <si>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</si>
  <si>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</si>
  <si>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</si>
  <si>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</si>
  <si>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</si>
  <si>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</si>
  <si>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</si>
  <si>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</si>
  <si>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Амортизация</t>
  </si>
  <si>
    <t>Прибыль</t>
  </si>
  <si>
    <t>факт прошлого года</t>
  </si>
  <si>
    <t>факт текущего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</si>
  <si>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</si>
  <si>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</si>
  <si>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</si>
  <si>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</si>
  <si>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</si>
  <si>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</si>
  <si>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</si>
  <si>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БРП "ЭнергоСети" ТОО "Kazakhmys Distribution (Казахмыс Дистрибьюшн)", услуги по передаче и распределению электрической энергии</t>
  </si>
  <si>
    <t>Всего по услуге</t>
  </si>
  <si>
    <t>Строительство кабельной эстакады с выносом кабелей из кабельного тоннеля и блока от ЦРП-2 до ЦРП-6 Часть 1</t>
  </si>
  <si>
    <t>услуга</t>
  </si>
  <si>
    <t>Ремонт преобразователя полупроводникового ЦЭСиП БРП "ЭнергоСети"</t>
  </si>
  <si>
    <t>шт</t>
  </si>
  <si>
    <t>Приобретение компьютерной техники</t>
  </si>
  <si>
    <t>шт.</t>
  </si>
  <si>
    <t>Замена полимерных изоляторов на стеклянные ВЛ-220 кВ</t>
  </si>
  <si>
    <t>Строительство кабельной эстакады ЦРП-2 - ЦРП-2А, 1 этап</t>
  </si>
  <si>
    <t>Строительство кабельной эстакады от РУ-10 кВ ЦРП-2 до РУ-10 кВ ЦРП-2А Часть 2</t>
  </si>
  <si>
    <t>Строительство кабельной эстакады от ЦРП-2 до ЦРП-6 Часть 2</t>
  </si>
  <si>
    <t>Силовой трансформатор ТРДН-63000/110/10 УХЛ1</t>
  </si>
  <si>
    <t>Замена трансформатора 16000 кВА 110/35/10 кВ ТДТН-16000/110-У1</t>
  </si>
  <si>
    <t>Разработка проекта «Строительство кабельной эстакады от БТЭЦ ГРУ до ЦРП-1 на территории МПЦ"</t>
  </si>
  <si>
    <t>Освидетельствование точек учета электрической энергии, проверка ТТ, ТН, приборов учета электрической энергии, измерение сопротивление изоляции ТТ, ТН, приборов и их цепей учета электроэнергии и технического обследования точек учета ЦЭСиП</t>
  </si>
  <si>
    <t>Разработка проекта "Строительство специализированной автомобильной базы для спецтехники и транспорта БРП "ЭнергоСети"</t>
  </si>
  <si>
    <t>Разработка проекта "Модернизация ПС Актогайский ГОК 220/110/10 и строительство ВЛ-220 кВ с ПС Актогайский ГОК 220/110/10 кВ на ПС 500-Актогай"</t>
  </si>
  <si>
    <t>Проведение комплексной режимной наладки внешних инженерных коммуникаций сетей теплоснабжения, водоснабжения и водоотведения ТОО «Kazakhmys Distribution» на Балхашской промышленной площадке</t>
  </si>
  <si>
    <t>Замена обратного трубопровода теплосети Ø630*10 на эстакаде от ЦРП-2 до сгустительного цеха до МОФ по территории БОФ</t>
  </si>
  <si>
    <t>Замена трубопровода хозпитьевой  воды Ø377 мм в ЦТТ ТВС от управление Казахмыс Смелтинг до конца тоннеля на территории РМЗ</t>
  </si>
  <si>
    <t>Капитальный ремонт аварийных строительных конструкций эстакады технологических трубопроводов цеха ТВС. 2 этап</t>
  </si>
  <si>
    <t>Замена трубопровода промышленной воды Ø 630 мм в ЦТТ ТВС от  управления Казахмыс Смелтинг до конца тоннеля на территории РМЗ</t>
  </si>
  <si>
    <t>БРП "ЭнергоСети" ТОО "Kazakhmys Distribution (Казахмыс Дистрибьюшн)", услуги по отводу сточных вод (хоз. фекальная канализация)</t>
  </si>
  <si>
    <t xml:space="preserve">Разработка проекта "Монтаж коллектора хоз. фекальной канализации от склада №1 до колодца гасителя"   </t>
  </si>
  <si>
    <t>Замена трубопровода хоз. бытовой канализации от забора СКЦ до наполнительной станции ППК</t>
  </si>
  <si>
    <t>БРП "ЭнергоСети" ТОО "Kazakhmys Distribution (Казахмыс Дистрибьюшн)", услуги по отводу сточных вод (промышленная канализация)</t>
  </si>
  <si>
    <t>Разработка проекта "Строительство резервной трассы промышленной канализации от МПЦ (район ЦРМП)  до склада БТЭЦ" (с установкой приборов учета)</t>
  </si>
  <si>
    <t>Модернизация приточно-вытяжной вентиляции с системой кондиционирования насосной станции ПЛК-2А</t>
  </si>
  <si>
    <t>1</t>
  </si>
  <si>
    <t>к-т</t>
  </si>
  <si>
    <t>3</t>
  </si>
  <si>
    <t>5</t>
  </si>
  <si>
    <t>Реализация проекта: Установка модульного водоперехватывающего технологического комплекса на  Балхашской промышленной площадке</t>
  </si>
  <si>
    <t>усл</t>
  </si>
  <si>
    <t>Приобретение материалов для мероприятий по технике безопасности и охране труда</t>
  </si>
  <si>
    <t>Приобретение материалов для мероприятий по технике безопасности (уч.т/с)</t>
  </si>
  <si>
    <t>Приобретение материалов для мероприятий по технике безопасности хоз. пит. воды</t>
  </si>
  <si>
    <t>Приобретение материалов для мероприятий по технике безопасности и охране труда ( уч. пром. водоснабжение)</t>
  </si>
  <si>
    <t>Приобретение материалов для обслуживания трубопровода (хоз. фекальная канализация)</t>
  </si>
  <si>
    <t>-</t>
  </si>
  <si>
    <t>не имеются</t>
  </si>
  <si>
    <t>услуги по передаче и распределению электрической энергии, Балхашская промышленная площадка, месторождение СарыКум, рудник и поселок Саяк Карагандинской области, поселок Атогай Восточно-Казахстанчкая область.</t>
  </si>
  <si>
    <t>услуги по отводу сточных вод (хоз. фекальная канализация), Балхашская промышленная площадка.</t>
  </si>
  <si>
    <t>услуги по отводу сточных вод (промышленная канализация), Балхашская промышленная площадка.</t>
  </si>
  <si>
    <t xml:space="preserve">ИК </t>
  </si>
  <si>
    <t>41-991515-17</t>
  </si>
  <si>
    <t>41-991515-79</t>
  </si>
  <si>
    <t>41-991515-86</t>
  </si>
  <si>
    <t>41-991515-55</t>
  </si>
  <si>
    <t>41-991514-87</t>
  </si>
  <si>
    <t>41-991515-42</t>
  </si>
  <si>
    <t>41-991515-43</t>
  </si>
  <si>
    <t>41-991515-73</t>
  </si>
  <si>
    <t>41-991515-58</t>
  </si>
  <si>
    <t>41-991515-66</t>
  </si>
  <si>
    <t>41-991515-71</t>
  </si>
  <si>
    <t>41-991515-85</t>
  </si>
  <si>
    <t>41_991515_87</t>
  </si>
  <si>
    <t>41_991515_93</t>
  </si>
  <si>
    <t>41_991515_94</t>
  </si>
  <si>
    <t>41_991515_90</t>
  </si>
  <si>
    <t>41-991515-83</t>
  </si>
  <si>
    <t>41-991515-84</t>
  </si>
  <si>
    <t>41-991515-72</t>
  </si>
  <si>
    <t>41-991515-67</t>
  </si>
  <si>
    <t>41_991515_89</t>
  </si>
  <si>
    <t>41-991515-45</t>
  </si>
  <si>
    <t>41-991515-57</t>
  </si>
  <si>
    <t>41_991515_92</t>
  </si>
  <si>
    <t>41-991515-81</t>
  </si>
  <si>
    <t>41-991515-65</t>
  </si>
  <si>
    <t>41-991515-39</t>
  </si>
  <si>
    <t>41-991515-54</t>
  </si>
  <si>
    <t>41_991515_91</t>
  </si>
  <si>
    <t>41-991515-63</t>
  </si>
  <si>
    <t>41-991515-44</t>
  </si>
  <si>
    <t>41-991515-51</t>
  </si>
  <si>
    <t>41-991515-52</t>
  </si>
  <si>
    <t>41-991515-74</t>
  </si>
  <si>
    <t>41-991515-50</t>
  </si>
  <si>
    <t>41-991515-61</t>
  </si>
  <si>
    <t>41-991515-64</t>
  </si>
  <si>
    <t>41-991515-56</t>
  </si>
  <si>
    <t>41-991515-62</t>
  </si>
  <si>
    <t>41-991515-75</t>
  </si>
  <si>
    <t>41-991515-76</t>
  </si>
  <si>
    <t>41-991514-63</t>
  </si>
  <si>
    <t>41-991515-53</t>
  </si>
  <si>
    <t>Ведутся работы подрядной организацией</t>
  </si>
  <si>
    <t>Отклонение возникло при проведении процедур по закупке работ и услуг. ТМЦ поставлено.</t>
  </si>
  <si>
    <t>ТМЦ поставлено</t>
  </si>
  <si>
    <t>Ведется поставка ТМЦ</t>
  </si>
  <si>
    <t>Ведутся процедуры по закупке товаров, работ и услуг</t>
  </si>
  <si>
    <t>Выполнено</t>
  </si>
  <si>
    <t>Повышение качества и надежности предоставляемых услуг будет оцениваться после реализации мероприятия</t>
  </si>
  <si>
    <t>Повышение качества и надежности предоставляемых услуг будет оцениваться после завершения строительства эстакады</t>
  </si>
  <si>
    <t>Повышение качества и надежности предоставляемых услуг будет оцениваться после реализации мероприятий на основе заключения проведения комлексной режимной наладки</t>
  </si>
  <si>
    <t>Ведутся работы подрядной организацией. Отклонение за счет проведения нового закупа ТМЦ (недопоставленный объем за счет толеранта в заключенном договоре).</t>
  </si>
  <si>
    <t>Отклонение за счет проведения нового закупа ТМЦ (недопоставленный объем за счет толеранта в заключенном договоре)</t>
  </si>
  <si>
    <t>Отклонение возникло при проведении процедур по закупке товаров, работ и услуг</t>
  </si>
  <si>
    <t>Отклонение возникло при проведении процедур по закупке товаров, работ и услуг. Экономию планируется перераспределить на реализацию других мероприятий. Ведутся работы по замене изоляторов.</t>
  </si>
  <si>
    <t>Отклонение возникло при проведении процедур по закупке товаров, работ и услуг. ТМЦ поставлено.</t>
  </si>
  <si>
    <t>БРП "ЭнергоСети" ТОО "Kazakhmys Distribution (Казахмыс Дистрибьюшн)", услуги по передаче и распределению тепловой энергии</t>
  </si>
  <si>
    <t>БРП "ЭнергоСети" ТОО "Kazakhmys Distribution (Казахмыс Дистрибьюшн)", услуги подачи воды по распределительным сетям (хоз. питьевое водоснабжение)</t>
  </si>
  <si>
    <t>БРП "ЭнергоСети" ТОО "Kazakhmys Distribution (Казахмыс Дистрибьюшн)", услуги подачи воды по распределительным сетям (промышленное водоснабжение)</t>
  </si>
  <si>
    <t>Задвижка 30с41нж ф300, ру-16атм  с ответными фланцами и крепежом</t>
  </si>
  <si>
    <t>Задвижка 30нж41нж  фланцевая ду200мм ру16кгс/см2 с коф</t>
  </si>
  <si>
    <t>Кондиционер  cплит-система. s - 33-36м2, n - 1080/1000 вт</t>
  </si>
  <si>
    <t>Расходомер электромагнитный dwm 2000 l</t>
  </si>
  <si>
    <t>Каналопромывочная машина  для очистки засоров мощность двигателя 152квт производительность 12,5м/ч вместимость цистерны 5,75м3 длина рукава высокого давления 100м</t>
  </si>
  <si>
    <t>Вакуумный автомобиль ассенизатор вместимость цистерны 4,3м.куб объём двигателя 4430 куб.см колесная база 4х2</t>
  </si>
  <si>
    <t>Мотопомпа передвижная на колесном шасси с дизельным двигателем и самовсасывающим насосом  производительностью  400 м3/ч и напором 50 м</t>
  </si>
  <si>
    <t>Станция канализационная насосная  кнс-400/22с/3,0-6,3/4,7</t>
  </si>
  <si>
    <t>Экскаватор-погрузчик с телескопической рукоятью со смещаемой осью копания грузоподъёмность-3.46тн объём двигателя 4,4л</t>
  </si>
  <si>
    <t>Шкаф металлический для одежды 2мд-37.3 размер 1800х750х490 мм цвет серый</t>
  </si>
  <si>
    <t>Электропривод н-г-06 у2</t>
  </si>
  <si>
    <t>Насос погружной 48м3/ч напор 18м 2,2квт нап патрубок сверху</t>
  </si>
  <si>
    <t>Полуприцеп бортовой г/п28т платформа 12,4м оси 2шт 10.00r20</t>
  </si>
  <si>
    <t>Седельный тягач двигателя дизельный с турбонаддувом модель кпп механическая, 9-тиступенчатая</t>
  </si>
  <si>
    <t>Автопогрузчик вилочный дизельный q2тн v3469см.куб</t>
  </si>
  <si>
    <t>Автобус двигатель ямз 53423 посадочных мест 25+1 объём 4,43л</t>
  </si>
  <si>
    <t>Комплектное распределительное устройство 6кв/630-1000а 10яч.</t>
  </si>
  <si>
    <t>Силовой трансформатор тм 2000/10/0,5 у1</t>
  </si>
  <si>
    <t>услуги по передаче и распределению тепловой энергии, Балхашская промышленная площадка.</t>
  </si>
  <si>
    <t>услуги подачи воды по распределительным сетям (хоз. питьевое водоснабжение),Балхашская промышленная площадка.</t>
  </si>
  <si>
    <t>услуги подачи воды по распределительным сетям (промышленное водоснабжение), Балхашская промышленная площадка.</t>
  </si>
  <si>
    <t xml:space="preserve">об исполнении инвестиционной программы по итогам  I полугодия 2021 года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</si>
</sst>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u/>
      <sz val="8"/>
      <color rgb="FF00000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3" fontId="4" fillId="0" borderId="0" xfId="2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 applyAlignment="1">
      <alignment horizontal="center" vertical="center" wrapText="1"/>
    </xf>
    <xf numFmtId="43" fontId="9" fillId="0" borderId="0" xfId="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 wrapText="1"/>
    </xf>
    <xf numFmtId="43" fontId="4" fillId="0" borderId="0" xfId="2" applyFont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9" fillId="0" borderId="0" xfId="0" applyFont="1" applyFill="1" applyAlignment="1">
      <alignment horizontal="center" vertical="center" wrapText="1"/>
    </xf>
    <xf numFmtId="43" fontId="9" fillId="0" borderId="0" xfId="2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5" fillId="0" borderId="0" xfId="0" applyFont="1"/>
    <xf numFmtId="43" fontId="5" fillId="0" borderId="0" xfId="2" applyFont="1"/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2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0" fontId="4" fillId="0" borderId="35" xfId="0" applyNumberFormat="1" applyFont="1" applyBorder="1" applyAlignment="1">
      <alignment horizontal="center" vertical="center" wrapText="1"/>
    </xf>
    <xf numFmtId="10" fontId="4" fillId="0" borderId="37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0;&#1089;&#1087;&#1086;&#1083;&#1085;&#1077;&#1085;&#1080;&#1103;%20&#1048;&#1055;%202021%20&#1075;&#1086;&#1076;&#1072;\&#1055;&#1086;&#1083;&#1091;&#1075;&#1086;&#1076;&#1080;&#1077;\&#1048;&#1055;_&#1050;&#1052;&#1044;_2021_01.07.21%20(6+6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S\AppData\Local\Microsoft\Windows\INetCache\Content.Outlook\STZ6BL2L\&#1048;&#1055;_&#1050;&#1052;&#1044;_2021_01.07.21%20(6+6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55;%202021%20&#1075;&#1086;&#1076;\&#1054;&#1090;%20&#1046;&#1080;&#1073;&#1077;&#1082;\&#1048;&#1055;_&#1050;&#1052;&#1044;_2021_01.07.21%20(6+6)%20&#1041;&#1056;&#105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 refreshError="1"/>
      <sheetData sheetId="1" refreshError="1">
        <row r="166">
          <cell r="BI166">
            <v>23.610373516746002</v>
          </cell>
        </row>
        <row r="168">
          <cell r="BI168">
            <v>1.481628746728</v>
          </cell>
        </row>
        <row r="169">
          <cell r="BI169">
            <v>10.909752000000003</v>
          </cell>
        </row>
        <row r="180">
          <cell r="BI180">
            <v>67.387729763152009</v>
          </cell>
        </row>
        <row r="186">
          <cell r="BI186">
            <v>4.4625930499999997</v>
          </cell>
        </row>
        <row r="187">
          <cell r="BI187">
            <v>3.1360000000000001</v>
          </cell>
        </row>
        <row r="188">
          <cell r="BI188">
            <v>34.059200000000011</v>
          </cell>
        </row>
        <row r="189">
          <cell r="BI189">
            <v>18.928000000000001</v>
          </cell>
        </row>
        <row r="190">
          <cell r="BI190">
            <v>11.53712</v>
          </cell>
        </row>
        <row r="191">
          <cell r="BI191">
            <v>60.319826984791199</v>
          </cell>
        </row>
        <row r="192">
          <cell r="BI192">
            <v>29.899999360000002</v>
          </cell>
        </row>
        <row r="195">
          <cell r="BI195">
            <v>3.1920000000000011</v>
          </cell>
        </row>
        <row r="196">
          <cell r="BI196">
            <v>32.336999999999996</v>
          </cell>
        </row>
        <row r="197">
          <cell r="BI197">
            <v>10.89312</v>
          </cell>
        </row>
        <row r="198">
          <cell r="BI198">
            <v>3.4722240000000006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 refreshError="1"/>
      <sheetData sheetId="1" refreshError="1">
        <row r="194">
          <cell r="BI194">
            <v>5.00976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ИП 21_на 01.07."/>
      <sheetName val="Лист1"/>
      <sheetName val="Лист2"/>
      <sheetName val="Лист1 (2)"/>
      <sheetName val="Лист3"/>
    </sheetNames>
    <sheetDataSet>
      <sheetData sheetId="0" refreshError="1"/>
      <sheetData sheetId="1" refreshError="1">
        <row r="181">
          <cell r="BI181">
            <v>1.654625</v>
          </cell>
        </row>
        <row r="182">
          <cell r="BI182">
            <v>1.8915960000000001</v>
          </cell>
        </row>
        <row r="196">
          <cell r="BI196">
            <v>32.336999999999996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2"/>
  <sheetViews>
    <sheetView tabSelected="1" topLeftCell="A4" zoomScaleNormal="100" workbookViewId="0">
      <selection activeCell="I7" sqref="I7"/>
    </sheetView>
  </sheetViews>
  <sheetFormatPr defaultRowHeight="11.25" x14ac:dyDescent="0.2"/>
  <cols>
    <col min="1" max="1" width="9.140625" style="30"/>
    <col min="2" max="2" width="19.85546875" style="30" customWidth="1"/>
    <col min="3" max="3" width="44.140625" style="30" customWidth="1"/>
    <col min="4" max="8" width="9.140625" style="30"/>
    <col min="9" max="9" width="13.28515625" style="30" customWidth="1"/>
    <col min="10" max="10" width="13.85546875" style="30" customWidth="1"/>
    <col min="11" max="11" width="14.85546875" style="30" customWidth="1"/>
    <col min="12" max="12" width="22.42578125" style="30" customWidth="1"/>
    <col min="13" max="13" width="12.140625" style="30" customWidth="1"/>
    <col min="14" max="14" width="10.5703125" style="30" customWidth="1"/>
    <col min="15" max="22" width="9.140625" style="30" customWidth="1"/>
    <col min="23" max="23" width="9.28515625" style="30" customWidth="1"/>
    <col min="24" max="24" width="8.7109375" style="30" customWidth="1"/>
    <col min="25" max="25" width="24.5703125" style="30" customWidth="1"/>
    <col min="26" max="26" width="30.85546875" style="30" customWidth="1"/>
    <col min="27" max="27" width="20.7109375" style="30" hidden="1" customWidth="1"/>
    <col min="28" max="28" width="10" style="33" hidden="1" customWidth="1"/>
    <col min="29" max="29" width="13.140625" style="33" hidden="1" customWidth="1"/>
    <col min="30" max="31" width="9.140625" style="30" hidden="1" customWidth="1"/>
    <col min="32" max="32" width="11.7109375" style="30" hidden="1" customWidth="1"/>
    <col min="33" max="33" width="9.140625" style="30" hidden="1" customWidth="1"/>
    <col min="34" max="16384" width="9.140625" style="30"/>
  </cols>
  <sheetData>
    <row r="1" spans="1:29" x14ac:dyDescent="0.2">
      <c r="Y1" s="31"/>
      <c r="Z1" s="32" t="s">
        <v>30</v>
      </c>
    </row>
    <row r="2" spans="1:29" x14ac:dyDescent="0.2">
      <c r="Z2" s="34" t="s">
        <v>31</v>
      </c>
    </row>
    <row r="3" spans="1:29" x14ac:dyDescent="0.2">
      <c r="Z3" s="35" t="s">
        <v>32</v>
      </c>
    </row>
    <row r="4" spans="1:29" x14ac:dyDescent="0.2">
      <c r="Z4" s="32" t="s">
        <v>33</v>
      </c>
    </row>
    <row r="6" spans="1:29" x14ac:dyDescent="0.2">
      <c r="Z6" s="32" t="s">
        <v>34</v>
      </c>
    </row>
    <row r="7" spans="1:29" x14ac:dyDescent="0.2">
      <c r="Z7" s="32"/>
    </row>
    <row r="8" spans="1:29" x14ac:dyDescent="0.2">
      <c r="A8" s="69" t="s">
        <v>35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9" x14ac:dyDescent="0.2">
      <c r="A9" s="69" t="s">
        <v>164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29" x14ac:dyDescent="0.2">
      <c r="A10" s="77" t="s">
        <v>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9" x14ac:dyDescent="0.2">
      <c r="A11" s="69" t="s">
        <v>36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29" ht="12" thickBot="1" x14ac:dyDescent="0.25">
      <c r="I12" s="45"/>
      <c r="J12" s="45"/>
      <c r="Z12" s="32"/>
    </row>
    <row r="13" spans="1:29" s="54" customFormat="1" ht="29.25" customHeight="1" thickBot="1" x14ac:dyDescent="0.2">
      <c r="A13" s="70" t="s">
        <v>0</v>
      </c>
      <c r="B13" s="66" t="s">
        <v>1</v>
      </c>
      <c r="C13" s="67"/>
      <c r="D13" s="67"/>
      <c r="E13" s="67"/>
      <c r="F13" s="67"/>
      <c r="G13" s="68"/>
      <c r="H13" s="74" t="s">
        <v>2</v>
      </c>
      <c r="I13" s="67" t="s">
        <v>3</v>
      </c>
      <c r="J13" s="67"/>
      <c r="K13" s="67"/>
      <c r="L13" s="68"/>
      <c r="M13" s="66" t="s">
        <v>15</v>
      </c>
      <c r="N13" s="67"/>
      <c r="O13" s="67"/>
      <c r="P13" s="68"/>
      <c r="Q13" s="66" t="s">
        <v>16</v>
      </c>
      <c r="R13" s="67"/>
      <c r="S13" s="67"/>
      <c r="T13" s="67"/>
      <c r="U13" s="67"/>
      <c r="V13" s="67"/>
      <c r="W13" s="67"/>
      <c r="X13" s="68"/>
      <c r="Y13" s="74" t="s">
        <v>17</v>
      </c>
      <c r="Z13" s="74" t="s">
        <v>18</v>
      </c>
      <c r="AB13" s="55"/>
      <c r="AC13" s="55"/>
    </row>
    <row r="14" spans="1:29" s="54" customFormat="1" ht="30.75" customHeight="1" thickBot="1" x14ac:dyDescent="0.2">
      <c r="A14" s="79"/>
      <c r="B14" s="74" t="s">
        <v>4</v>
      </c>
      <c r="C14" s="74" t="s">
        <v>5</v>
      </c>
      <c r="D14" s="74" t="s">
        <v>6</v>
      </c>
      <c r="E14" s="66" t="s">
        <v>7</v>
      </c>
      <c r="F14" s="68"/>
      <c r="G14" s="74" t="s">
        <v>8</v>
      </c>
      <c r="H14" s="76"/>
      <c r="I14" s="71" t="s">
        <v>9</v>
      </c>
      <c r="J14" s="74" t="s">
        <v>10</v>
      </c>
      <c r="K14" s="74" t="s">
        <v>11</v>
      </c>
      <c r="L14" s="74" t="s">
        <v>12</v>
      </c>
      <c r="M14" s="70" t="s">
        <v>19</v>
      </c>
      <c r="N14" s="71"/>
      <c r="O14" s="74" t="s">
        <v>20</v>
      </c>
      <c r="P14" s="74" t="s">
        <v>21</v>
      </c>
      <c r="Q14" s="70" t="s">
        <v>22</v>
      </c>
      <c r="R14" s="71"/>
      <c r="S14" s="70" t="s">
        <v>23</v>
      </c>
      <c r="T14" s="71"/>
      <c r="U14" s="70" t="s">
        <v>24</v>
      </c>
      <c r="V14" s="71"/>
      <c r="W14" s="70" t="s">
        <v>25</v>
      </c>
      <c r="X14" s="71"/>
      <c r="Y14" s="76"/>
      <c r="Z14" s="76"/>
      <c r="AB14" s="55"/>
      <c r="AC14" s="55"/>
    </row>
    <row r="15" spans="1:29" s="54" customFormat="1" ht="72" customHeight="1" thickBot="1" x14ac:dyDescent="0.2">
      <c r="A15" s="79"/>
      <c r="B15" s="76"/>
      <c r="C15" s="76"/>
      <c r="D15" s="76"/>
      <c r="E15" s="74" t="s">
        <v>13</v>
      </c>
      <c r="F15" s="74" t="s">
        <v>14</v>
      </c>
      <c r="G15" s="76"/>
      <c r="H15" s="76"/>
      <c r="I15" s="83"/>
      <c r="J15" s="76"/>
      <c r="K15" s="76"/>
      <c r="L15" s="76"/>
      <c r="M15" s="72"/>
      <c r="N15" s="73"/>
      <c r="O15" s="76"/>
      <c r="P15" s="76"/>
      <c r="Q15" s="72"/>
      <c r="R15" s="73"/>
      <c r="S15" s="72"/>
      <c r="T15" s="73"/>
      <c r="U15" s="72"/>
      <c r="V15" s="73"/>
      <c r="W15" s="72"/>
      <c r="X15" s="73"/>
      <c r="Y15" s="76"/>
      <c r="Z15" s="76"/>
      <c r="AB15" s="55"/>
      <c r="AC15" s="55"/>
    </row>
    <row r="16" spans="1:29" s="58" customFormat="1" ht="68.25" customHeight="1" thickBot="1" x14ac:dyDescent="0.2">
      <c r="A16" s="72"/>
      <c r="B16" s="75"/>
      <c r="C16" s="75"/>
      <c r="D16" s="75"/>
      <c r="E16" s="75"/>
      <c r="F16" s="75"/>
      <c r="G16" s="75"/>
      <c r="H16" s="75"/>
      <c r="I16" s="73"/>
      <c r="J16" s="75"/>
      <c r="K16" s="75"/>
      <c r="L16" s="75"/>
      <c r="M16" s="56" t="s">
        <v>26</v>
      </c>
      <c r="N16" s="56" t="s">
        <v>27</v>
      </c>
      <c r="O16" s="75"/>
      <c r="P16" s="75"/>
      <c r="Q16" s="56" t="s">
        <v>28</v>
      </c>
      <c r="R16" s="57" t="s">
        <v>29</v>
      </c>
      <c r="S16" s="57" t="s">
        <v>28</v>
      </c>
      <c r="T16" s="57" t="s">
        <v>29</v>
      </c>
      <c r="U16" s="57" t="s">
        <v>13</v>
      </c>
      <c r="V16" s="57" t="s">
        <v>14</v>
      </c>
      <c r="W16" s="57" t="s">
        <v>28</v>
      </c>
      <c r="X16" s="57" t="s">
        <v>29</v>
      </c>
      <c r="Y16" s="75"/>
      <c r="Z16" s="75"/>
      <c r="AB16" s="59"/>
      <c r="AC16" s="59"/>
    </row>
    <row r="17" spans="1:30" ht="12" thickBot="1" x14ac:dyDescent="0.25">
      <c r="A17" s="1">
        <v>1</v>
      </c>
      <c r="B17" s="2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2">
        <v>8</v>
      </c>
      <c r="I17" s="3">
        <v>9</v>
      </c>
      <c r="J17" s="3">
        <v>10</v>
      </c>
      <c r="K17" s="3">
        <v>11</v>
      </c>
      <c r="L17" s="3">
        <v>12</v>
      </c>
      <c r="M17" s="2">
        <v>13</v>
      </c>
      <c r="N17" s="3">
        <v>14</v>
      </c>
      <c r="O17" s="3">
        <v>15</v>
      </c>
      <c r="P17" s="3">
        <v>16</v>
      </c>
      <c r="Q17" s="2">
        <v>17</v>
      </c>
      <c r="R17" s="3">
        <v>18</v>
      </c>
      <c r="S17" s="3">
        <v>19</v>
      </c>
      <c r="T17" s="3">
        <v>20</v>
      </c>
      <c r="U17" s="3">
        <v>21</v>
      </c>
      <c r="V17" s="3">
        <v>22</v>
      </c>
      <c r="W17" s="3">
        <v>23</v>
      </c>
      <c r="X17" s="3">
        <v>24</v>
      </c>
      <c r="Y17" s="2">
        <v>25</v>
      </c>
      <c r="Z17" s="2">
        <v>26</v>
      </c>
    </row>
    <row r="18" spans="1:30" s="40" customFormat="1" x14ac:dyDescent="0.25">
      <c r="A18" s="4"/>
      <c r="B18" s="80" t="s">
        <v>79</v>
      </c>
      <c r="C18" s="5" t="s">
        <v>38</v>
      </c>
      <c r="D18" s="6"/>
      <c r="E18" s="6"/>
      <c r="F18" s="6"/>
      <c r="G18" s="7"/>
      <c r="H18" s="8"/>
      <c r="I18" s="9">
        <f>SUM(I19:I35)</f>
        <v>866348.03955357114</v>
      </c>
      <c r="J18" s="10">
        <f>SUM(J19:J35)</f>
        <v>718321.42114285717</v>
      </c>
      <c r="K18" s="10">
        <f>SUM(K19:K35)</f>
        <v>148026.6184107142</v>
      </c>
      <c r="L18" s="7"/>
      <c r="M18" s="11">
        <f>SUM(M19:M35)</f>
        <v>866348.03955357114</v>
      </c>
      <c r="N18" s="10">
        <f>SUM(N19:N35)</f>
        <v>0</v>
      </c>
      <c r="O18" s="6"/>
      <c r="P18" s="7"/>
      <c r="Q18" s="12"/>
      <c r="R18" s="6"/>
      <c r="S18" s="6"/>
      <c r="T18" s="6"/>
      <c r="U18" s="6"/>
      <c r="V18" s="6"/>
      <c r="W18" s="6"/>
      <c r="X18" s="7"/>
      <c r="Y18" s="8"/>
      <c r="Z18" s="8"/>
      <c r="AA18" s="38" t="s">
        <v>82</v>
      </c>
      <c r="AB18" s="39"/>
      <c r="AC18" s="39"/>
      <c r="AD18" s="38"/>
    </row>
    <row r="19" spans="1:30" s="40" customFormat="1" ht="25.5" customHeight="1" x14ac:dyDescent="0.25">
      <c r="A19" s="13">
        <v>1</v>
      </c>
      <c r="B19" s="81"/>
      <c r="C19" s="14" t="s">
        <v>39</v>
      </c>
      <c r="D19" s="14" t="s">
        <v>40</v>
      </c>
      <c r="E19" s="14">
        <v>1</v>
      </c>
      <c r="F19" s="14"/>
      <c r="G19" s="15"/>
      <c r="H19" s="16"/>
      <c r="I19" s="17">
        <f>30932711.5723999/1.12/1000</f>
        <v>27618.492475357052</v>
      </c>
      <c r="J19" s="18"/>
      <c r="K19" s="18">
        <f>I19-J19</f>
        <v>27618.492475357052</v>
      </c>
      <c r="L19" s="15" t="s">
        <v>130</v>
      </c>
      <c r="M19" s="19">
        <f>I19</f>
        <v>27618.492475357052</v>
      </c>
      <c r="N19" s="14"/>
      <c r="O19" s="14"/>
      <c r="P19" s="15"/>
      <c r="Q19" s="20"/>
      <c r="R19" s="14"/>
      <c r="S19" s="14" t="s">
        <v>77</v>
      </c>
      <c r="T19" s="14" t="s">
        <v>77</v>
      </c>
      <c r="U19" s="60">
        <v>6.69</v>
      </c>
      <c r="V19" s="60">
        <v>6.67</v>
      </c>
      <c r="W19" s="60">
        <v>19</v>
      </c>
      <c r="X19" s="63">
        <v>14</v>
      </c>
      <c r="Y19" s="16" t="s">
        <v>130</v>
      </c>
      <c r="Z19" s="16" t="s">
        <v>132</v>
      </c>
      <c r="AA19" s="41" t="s">
        <v>83</v>
      </c>
      <c r="AB19" s="39">
        <v>27.618492475357101</v>
      </c>
      <c r="AC19" s="42">
        <f>AB19*1000</f>
        <v>27618.492475357099</v>
      </c>
      <c r="AD19" s="38" t="b">
        <f>I19=AC19</f>
        <v>1</v>
      </c>
    </row>
    <row r="20" spans="1:30" s="40" customFormat="1" ht="45" x14ac:dyDescent="0.25">
      <c r="A20" s="13">
        <v>2</v>
      </c>
      <c r="B20" s="81"/>
      <c r="C20" s="14" t="s">
        <v>41</v>
      </c>
      <c r="D20" s="14" t="s">
        <v>40</v>
      </c>
      <c r="E20" s="14">
        <v>1</v>
      </c>
      <c r="F20" s="14"/>
      <c r="G20" s="15"/>
      <c r="H20" s="16"/>
      <c r="I20" s="17">
        <f>6549113.4076/1.12/1000</f>
        <v>5847.4226853571427</v>
      </c>
      <c r="J20" s="18"/>
      <c r="K20" s="18">
        <f t="shared" ref="K20:K34" si="0">I20-J20</f>
        <v>5847.4226853571427</v>
      </c>
      <c r="L20" s="15" t="s">
        <v>130</v>
      </c>
      <c r="M20" s="19">
        <f t="shared" ref="M20:M34" si="1">I20</f>
        <v>5847.4226853571427</v>
      </c>
      <c r="N20" s="14"/>
      <c r="O20" s="14"/>
      <c r="P20" s="15"/>
      <c r="Q20" s="20"/>
      <c r="R20" s="14"/>
      <c r="S20" s="14" t="s">
        <v>77</v>
      </c>
      <c r="T20" s="14" t="s">
        <v>77</v>
      </c>
      <c r="U20" s="61"/>
      <c r="V20" s="61"/>
      <c r="W20" s="61"/>
      <c r="X20" s="64"/>
      <c r="Y20" s="16" t="s">
        <v>130</v>
      </c>
      <c r="Z20" s="16" t="s">
        <v>132</v>
      </c>
      <c r="AA20" s="41" t="s">
        <v>84</v>
      </c>
      <c r="AB20" s="39">
        <v>5.8474226853571389</v>
      </c>
      <c r="AC20" s="42">
        <f t="shared" ref="AC20:AC35" si="2">AB20*1000</f>
        <v>5847.422685357139</v>
      </c>
      <c r="AD20" s="38" t="b">
        <f t="shared" ref="AD20:AD35" si="3">I20=AC20</f>
        <v>1</v>
      </c>
    </row>
    <row r="21" spans="1:30" s="40" customFormat="1" ht="45" x14ac:dyDescent="0.25">
      <c r="A21" s="13">
        <v>3</v>
      </c>
      <c r="B21" s="81"/>
      <c r="C21" s="14" t="s">
        <v>43</v>
      </c>
      <c r="D21" s="14" t="s">
        <v>44</v>
      </c>
      <c r="E21" s="14">
        <v>66</v>
      </c>
      <c r="F21" s="14"/>
      <c r="G21" s="15"/>
      <c r="H21" s="16"/>
      <c r="I21" s="17">
        <f>16376261/1.12/1000</f>
        <v>14621.661607142856</v>
      </c>
      <c r="J21" s="18">
        <f>16376261/1.12/1000</f>
        <v>14621.661607142856</v>
      </c>
      <c r="K21" s="18">
        <f t="shared" si="0"/>
        <v>0</v>
      </c>
      <c r="L21" s="15"/>
      <c r="M21" s="19">
        <f t="shared" si="1"/>
        <v>14621.661607142856</v>
      </c>
      <c r="N21" s="14"/>
      <c r="O21" s="14"/>
      <c r="P21" s="15"/>
      <c r="Q21" s="20"/>
      <c r="R21" s="14"/>
      <c r="S21" s="14" t="s">
        <v>77</v>
      </c>
      <c r="T21" s="14" t="s">
        <v>77</v>
      </c>
      <c r="U21" s="61"/>
      <c r="V21" s="61"/>
      <c r="W21" s="61"/>
      <c r="X21" s="64"/>
      <c r="Y21" s="16" t="s">
        <v>128</v>
      </c>
      <c r="Z21" s="16" t="s">
        <v>132</v>
      </c>
      <c r="AA21" s="41" t="s">
        <v>85</v>
      </c>
      <c r="AB21" s="39">
        <v>14.621661607142855</v>
      </c>
      <c r="AC21" s="42">
        <f t="shared" si="2"/>
        <v>14621.661607142854</v>
      </c>
      <c r="AD21" s="38" t="b">
        <f t="shared" si="3"/>
        <v>1</v>
      </c>
    </row>
    <row r="22" spans="1:30" s="40" customFormat="1" ht="37.5" customHeight="1" x14ac:dyDescent="0.25">
      <c r="A22" s="13">
        <v>4</v>
      </c>
      <c r="B22" s="81"/>
      <c r="C22" s="14" t="s">
        <v>45</v>
      </c>
      <c r="D22" s="14" t="s">
        <v>40</v>
      </c>
      <c r="E22" s="14">
        <v>1</v>
      </c>
      <c r="F22" s="14"/>
      <c r="G22" s="15"/>
      <c r="H22" s="16"/>
      <c r="I22" s="17">
        <f>100242306.29044/1.12/1000</f>
        <v>89502.059187892839</v>
      </c>
      <c r="J22" s="18">
        <f>(41148800+59053831.2)/1.12/1000</f>
        <v>89466.634999999995</v>
      </c>
      <c r="K22" s="18">
        <f t="shared" si="0"/>
        <v>35.424187892844202</v>
      </c>
      <c r="L22" s="15" t="s">
        <v>137</v>
      </c>
      <c r="M22" s="19">
        <f t="shared" si="1"/>
        <v>89502.059187892839</v>
      </c>
      <c r="N22" s="14"/>
      <c r="O22" s="14"/>
      <c r="P22" s="15"/>
      <c r="Q22" s="20"/>
      <c r="R22" s="14"/>
      <c r="S22" s="14">
        <v>2</v>
      </c>
      <c r="T22" s="14">
        <v>7</v>
      </c>
      <c r="U22" s="61"/>
      <c r="V22" s="61"/>
      <c r="W22" s="61"/>
      <c r="X22" s="64"/>
      <c r="Y22" s="16" t="s">
        <v>138</v>
      </c>
      <c r="Z22" s="16" t="s">
        <v>132</v>
      </c>
      <c r="AA22" s="38" t="s">
        <v>86</v>
      </c>
      <c r="AB22" s="39">
        <v>89.502059187892797</v>
      </c>
      <c r="AC22" s="42">
        <f t="shared" si="2"/>
        <v>89502.059187892795</v>
      </c>
      <c r="AD22" s="38" t="b">
        <f>I22=AC22</f>
        <v>1</v>
      </c>
    </row>
    <row r="23" spans="1:30" s="40" customFormat="1" ht="45" x14ac:dyDescent="0.25">
      <c r="A23" s="13">
        <v>5</v>
      </c>
      <c r="B23" s="81"/>
      <c r="C23" s="14" t="s">
        <v>46</v>
      </c>
      <c r="D23" s="14" t="s">
        <v>40</v>
      </c>
      <c r="E23" s="14">
        <v>1</v>
      </c>
      <c r="F23" s="14"/>
      <c r="G23" s="15"/>
      <c r="H23" s="16"/>
      <c r="I23" s="17">
        <f>8833067.58/1.12/1000</f>
        <v>7886.667482142856</v>
      </c>
      <c r="J23" s="18">
        <f>I23</f>
        <v>7886.667482142856</v>
      </c>
      <c r="K23" s="18">
        <f t="shared" si="0"/>
        <v>0</v>
      </c>
      <c r="L23" s="15"/>
      <c r="M23" s="19">
        <f t="shared" si="1"/>
        <v>7886.667482142856</v>
      </c>
      <c r="N23" s="14"/>
      <c r="O23" s="14"/>
      <c r="P23" s="15"/>
      <c r="Q23" s="20"/>
      <c r="R23" s="14"/>
      <c r="S23" s="14"/>
      <c r="T23" s="14"/>
      <c r="U23" s="61"/>
      <c r="V23" s="61"/>
      <c r="W23" s="61"/>
      <c r="X23" s="64"/>
      <c r="Y23" s="16" t="s">
        <v>131</v>
      </c>
      <c r="Z23" s="16" t="s">
        <v>133</v>
      </c>
      <c r="AA23" s="41" t="s">
        <v>87</v>
      </c>
      <c r="AB23" s="39">
        <v>7.8866674821428564</v>
      </c>
      <c r="AC23" s="42">
        <f t="shared" si="2"/>
        <v>7886.667482142856</v>
      </c>
      <c r="AD23" s="38" t="b">
        <f t="shared" si="3"/>
        <v>1</v>
      </c>
    </row>
    <row r="24" spans="1:30" s="40" customFormat="1" ht="60.75" customHeight="1" x14ac:dyDescent="0.25">
      <c r="A24" s="13">
        <v>6</v>
      </c>
      <c r="B24" s="81"/>
      <c r="C24" s="14" t="s">
        <v>47</v>
      </c>
      <c r="D24" s="14" t="s">
        <v>40</v>
      </c>
      <c r="E24" s="14">
        <v>1</v>
      </c>
      <c r="F24" s="14"/>
      <c r="G24" s="15"/>
      <c r="H24" s="16"/>
      <c r="I24" s="17">
        <f>162739683.5/1.12/1000</f>
        <v>145303.2888392857</v>
      </c>
      <c r="J24" s="18">
        <f>(67870044.42+4119571+968403+32402908.71+46763005.91)/1.12/1000</f>
        <v>135824.94021428571</v>
      </c>
      <c r="K24" s="18">
        <f t="shared" si="0"/>
        <v>9478.3486249999842</v>
      </c>
      <c r="L24" s="15" t="s">
        <v>136</v>
      </c>
      <c r="M24" s="19">
        <f t="shared" si="1"/>
        <v>145303.2888392857</v>
      </c>
      <c r="N24" s="14"/>
      <c r="O24" s="14"/>
      <c r="P24" s="15"/>
      <c r="Q24" s="20"/>
      <c r="R24" s="14"/>
      <c r="S24" s="14"/>
      <c r="T24" s="14"/>
      <c r="U24" s="61"/>
      <c r="V24" s="61"/>
      <c r="W24" s="61"/>
      <c r="X24" s="64"/>
      <c r="Y24" s="16" t="s">
        <v>135</v>
      </c>
      <c r="Z24" s="16" t="s">
        <v>133</v>
      </c>
      <c r="AA24" s="38" t="s">
        <v>88</v>
      </c>
      <c r="AB24" s="39">
        <v>145.3032888392857</v>
      </c>
      <c r="AC24" s="42">
        <f t="shared" si="2"/>
        <v>145303.2888392857</v>
      </c>
      <c r="AD24" s="38" t="b">
        <f t="shared" si="3"/>
        <v>1</v>
      </c>
    </row>
    <row r="25" spans="1:30" s="40" customFormat="1" ht="45" x14ac:dyDescent="0.25">
      <c r="A25" s="13">
        <v>7</v>
      </c>
      <c r="B25" s="81"/>
      <c r="C25" s="14" t="s">
        <v>48</v>
      </c>
      <c r="D25" s="14" t="s">
        <v>40</v>
      </c>
      <c r="E25" s="14">
        <v>1</v>
      </c>
      <c r="F25" s="14"/>
      <c r="G25" s="15"/>
      <c r="H25" s="16"/>
      <c r="I25" s="17">
        <f>87339557.26/1.12/1000</f>
        <v>77981.747553571433</v>
      </c>
      <c r="J25" s="18">
        <f>(35910683.82+512391+3476293+11367000.96+11739866.88+24333321.6)/1.12/1000</f>
        <v>77981.747553571433</v>
      </c>
      <c r="K25" s="18">
        <f t="shared" si="0"/>
        <v>0</v>
      </c>
      <c r="L25" s="15"/>
      <c r="M25" s="19">
        <f t="shared" si="1"/>
        <v>77981.747553571433</v>
      </c>
      <c r="N25" s="14"/>
      <c r="O25" s="14"/>
      <c r="P25" s="15"/>
      <c r="Q25" s="20"/>
      <c r="R25" s="14"/>
      <c r="S25" s="14"/>
      <c r="T25" s="14"/>
      <c r="U25" s="61"/>
      <c r="V25" s="61"/>
      <c r="W25" s="61"/>
      <c r="X25" s="64"/>
      <c r="Y25" s="16" t="s">
        <v>126</v>
      </c>
      <c r="Z25" s="16" t="s">
        <v>133</v>
      </c>
      <c r="AA25" s="38" t="s">
        <v>89</v>
      </c>
      <c r="AB25" s="39">
        <v>77.98174755357141</v>
      </c>
      <c r="AC25" s="42">
        <f t="shared" si="2"/>
        <v>77981.747553571404</v>
      </c>
      <c r="AD25" s="38" t="b">
        <f t="shared" si="3"/>
        <v>1</v>
      </c>
    </row>
    <row r="26" spans="1:30" s="40" customFormat="1" ht="45" x14ac:dyDescent="0.25">
      <c r="A26" s="13">
        <v>8</v>
      </c>
      <c r="B26" s="81"/>
      <c r="C26" s="14" t="s">
        <v>49</v>
      </c>
      <c r="D26" s="14" t="s">
        <v>42</v>
      </c>
      <c r="E26" s="14">
        <v>1</v>
      </c>
      <c r="F26" s="14"/>
      <c r="G26" s="15"/>
      <c r="H26" s="16"/>
      <c r="I26" s="17">
        <f>185570112/1.12/1000</f>
        <v>165687.59999999998</v>
      </c>
      <c r="J26" s="18">
        <f>185570112/1.12/1000</f>
        <v>165687.59999999998</v>
      </c>
      <c r="K26" s="18">
        <f t="shared" si="0"/>
        <v>0</v>
      </c>
      <c r="L26" s="15"/>
      <c r="M26" s="19">
        <f t="shared" si="1"/>
        <v>165687.59999999998</v>
      </c>
      <c r="N26" s="14"/>
      <c r="O26" s="14"/>
      <c r="P26" s="15"/>
      <c r="Q26" s="20"/>
      <c r="R26" s="14"/>
      <c r="S26" s="14" t="s">
        <v>77</v>
      </c>
      <c r="T26" s="14" t="s">
        <v>77</v>
      </c>
      <c r="U26" s="61"/>
      <c r="V26" s="61"/>
      <c r="W26" s="61"/>
      <c r="X26" s="64"/>
      <c r="Y26" s="16" t="s">
        <v>129</v>
      </c>
      <c r="Z26" s="16" t="s">
        <v>132</v>
      </c>
      <c r="AA26" s="38" t="s">
        <v>90</v>
      </c>
      <c r="AB26" s="39">
        <v>165.68759999999997</v>
      </c>
      <c r="AC26" s="42">
        <f t="shared" si="2"/>
        <v>165687.59999999998</v>
      </c>
      <c r="AD26" s="38" t="b">
        <f t="shared" si="3"/>
        <v>1</v>
      </c>
    </row>
    <row r="27" spans="1:30" s="40" customFormat="1" ht="45" x14ac:dyDescent="0.25">
      <c r="A27" s="13">
        <v>9</v>
      </c>
      <c r="B27" s="81"/>
      <c r="C27" s="14" t="s">
        <v>50</v>
      </c>
      <c r="D27" s="14" t="s">
        <v>42</v>
      </c>
      <c r="E27" s="14">
        <v>1</v>
      </c>
      <c r="F27" s="14"/>
      <c r="G27" s="15"/>
      <c r="H27" s="16"/>
      <c r="I27" s="17">
        <f>142508329.6/1.12/1000</f>
        <v>127239.57999999999</v>
      </c>
      <c r="J27" s="18">
        <f>142508329.6/1.12/1000</f>
        <v>127239.57999999999</v>
      </c>
      <c r="K27" s="18">
        <f t="shared" si="0"/>
        <v>0</v>
      </c>
      <c r="L27" s="15"/>
      <c r="M27" s="19">
        <f t="shared" si="1"/>
        <v>127239.57999999999</v>
      </c>
      <c r="N27" s="14"/>
      <c r="O27" s="14"/>
      <c r="P27" s="15"/>
      <c r="Q27" s="20"/>
      <c r="R27" s="14"/>
      <c r="S27" s="14" t="s">
        <v>77</v>
      </c>
      <c r="T27" s="14" t="s">
        <v>77</v>
      </c>
      <c r="U27" s="61"/>
      <c r="V27" s="61"/>
      <c r="W27" s="61"/>
      <c r="X27" s="64"/>
      <c r="Y27" s="16" t="s">
        <v>129</v>
      </c>
      <c r="Z27" s="16" t="s">
        <v>132</v>
      </c>
      <c r="AA27" s="38" t="s">
        <v>91</v>
      </c>
      <c r="AB27" s="39">
        <v>127.23957999999999</v>
      </c>
      <c r="AC27" s="42">
        <f t="shared" si="2"/>
        <v>127239.57999999999</v>
      </c>
      <c r="AD27" s="38" t="b">
        <f t="shared" si="3"/>
        <v>1</v>
      </c>
    </row>
    <row r="28" spans="1:30" s="40" customFormat="1" ht="45" x14ac:dyDescent="0.25">
      <c r="A28" s="13">
        <v>10</v>
      </c>
      <c r="B28" s="81"/>
      <c r="C28" s="14" t="s">
        <v>51</v>
      </c>
      <c r="D28" s="14" t="s">
        <v>40</v>
      </c>
      <c r="E28" s="14">
        <v>1</v>
      </c>
      <c r="F28" s="14"/>
      <c r="G28" s="15"/>
      <c r="H28" s="16"/>
      <c r="I28" s="17">
        <f>5600077.28/1.12/1000</f>
        <v>5000.0690000000004</v>
      </c>
      <c r="J28" s="18">
        <f>5600077.28/1.12/1000</f>
        <v>5000.0690000000004</v>
      </c>
      <c r="K28" s="18">
        <f t="shared" si="0"/>
        <v>0</v>
      </c>
      <c r="L28" s="15"/>
      <c r="M28" s="19">
        <f t="shared" si="1"/>
        <v>5000.0690000000004</v>
      </c>
      <c r="N28" s="14"/>
      <c r="O28" s="14"/>
      <c r="P28" s="15"/>
      <c r="Q28" s="20"/>
      <c r="R28" s="14"/>
      <c r="S28" s="14" t="s">
        <v>77</v>
      </c>
      <c r="T28" s="14" t="s">
        <v>77</v>
      </c>
      <c r="U28" s="61"/>
      <c r="V28" s="61"/>
      <c r="W28" s="61"/>
      <c r="X28" s="64"/>
      <c r="Y28" s="16" t="s">
        <v>126</v>
      </c>
      <c r="Z28" s="16" t="s">
        <v>132</v>
      </c>
      <c r="AA28" s="38" t="s">
        <v>92</v>
      </c>
      <c r="AB28" s="39">
        <v>5.0000689999999999</v>
      </c>
      <c r="AC28" s="42">
        <f t="shared" si="2"/>
        <v>5000.0689999999995</v>
      </c>
      <c r="AD28" s="38" t="b">
        <f t="shared" si="3"/>
        <v>1</v>
      </c>
    </row>
    <row r="29" spans="1:30" s="40" customFormat="1" ht="56.25" x14ac:dyDescent="0.25">
      <c r="A29" s="13">
        <v>11</v>
      </c>
      <c r="B29" s="81"/>
      <c r="C29" s="14" t="s">
        <v>52</v>
      </c>
      <c r="D29" s="14" t="s">
        <v>40</v>
      </c>
      <c r="E29" s="14">
        <v>1</v>
      </c>
      <c r="F29" s="14"/>
      <c r="G29" s="15"/>
      <c r="H29" s="16"/>
      <c r="I29" s="17">
        <f>65000000/1.12/1000</f>
        <v>58035.714285714283</v>
      </c>
      <c r="J29" s="18">
        <f>65000000/1.12/1000</f>
        <v>58035.714285714283</v>
      </c>
      <c r="K29" s="18">
        <f t="shared" si="0"/>
        <v>0</v>
      </c>
      <c r="L29" s="15"/>
      <c r="M29" s="19">
        <f t="shared" si="1"/>
        <v>58035.714285714283</v>
      </c>
      <c r="N29" s="14"/>
      <c r="O29" s="14"/>
      <c r="P29" s="15"/>
      <c r="Q29" s="20"/>
      <c r="R29" s="14"/>
      <c r="S29" s="14" t="s">
        <v>77</v>
      </c>
      <c r="T29" s="14" t="s">
        <v>77</v>
      </c>
      <c r="U29" s="61"/>
      <c r="V29" s="61"/>
      <c r="W29" s="61"/>
      <c r="X29" s="64"/>
      <c r="Y29" s="16" t="s">
        <v>126</v>
      </c>
      <c r="Z29" s="16" t="s">
        <v>132</v>
      </c>
      <c r="AA29" s="38" t="s">
        <v>93</v>
      </c>
      <c r="AB29" s="39">
        <v>58.035714285714278</v>
      </c>
      <c r="AC29" s="42">
        <f t="shared" si="2"/>
        <v>58035.714285714275</v>
      </c>
      <c r="AD29" s="38" t="b">
        <f t="shared" si="3"/>
        <v>1</v>
      </c>
    </row>
    <row r="30" spans="1:30" s="40" customFormat="1" ht="45" x14ac:dyDescent="0.25">
      <c r="A30" s="13">
        <v>12</v>
      </c>
      <c r="B30" s="81"/>
      <c r="C30" s="14" t="s">
        <v>53</v>
      </c>
      <c r="D30" s="14" t="s">
        <v>40</v>
      </c>
      <c r="E30" s="14">
        <v>1</v>
      </c>
      <c r="F30" s="14"/>
      <c r="G30" s="15"/>
      <c r="H30" s="16"/>
      <c r="I30" s="17">
        <f>14995888.32/1.12/1000</f>
        <v>13389.185999999998</v>
      </c>
      <c r="J30" s="18">
        <f>14995888.32/1.12/1000</f>
        <v>13389.185999999998</v>
      </c>
      <c r="K30" s="18">
        <f t="shared" si="0"/>
        <v>0</v>
      </c>
      <c r="L30" s="15"/>
      <c r="M30" s="19">
        <f t="shared" si="1"/>
        <v>13389.185999999998</v>
      </c>
      <c r="N30" s="14"/>
      <c r="O30" s="14"/>
      <c r="P30" s="15"/>
      <c r="Q30" s="20"/>
      <c r="R30" s="14"/>
      <c r="S30" s="14" t="s">
        <v>77</v>
      </c>
      <c r="T30" s="14" t="s">
        <v>77</v>
      </c>
      <c r="U30" s="61"/>
      <c r="V30" s="61"/>
      <c r="W30" s="61"/>
      <c r="X30" s="64"/>
      <c r="Y30" s="16" t="s">
        <v>126</v>
      </c>
      <c r="Z30" s="16" t="s">
        <v>132</v>
      </c>
      <c r="AA30" s="38" t="s">
        <v>94</v>
      </c>
      <c r="AB30" s="39">
        <v>13.389186000000009</v>
      </c>
      <c r="AC30" s="42">
        <f t="shared" si="2"/>
        <v>13389.186000000009</v>
      </c>
      <c r="AD30" s="38" t="b">
        <f t="shared" si="3"/>
        <v>1</v>
      </c>
    </row>
    <row r="31" spans="1:30" s="40" customFormat="1" ht="37.5" customHeight="1" x14ac:dyDescent="0.25">
      <c r="A31" s="13">
        <v>13</v>
      </c>
      <c r="B31" s="81"/>
      <c r="C31" s="14" t="s">
        <v>54</v>
      </c>
      <c r="D31" s="14" t="s">
        <v>40</v>
      </c>
      <c r="E31" s="14">
        <v>1</v>
      </c>
      <c r="F31" s="14"/>
      <c r="G31" s="15"/>
      <c r="H31" s="16"/>
      <c r="I31" s="17">
        <f>34134147/1.12/1000</f>
        <v>30476.916964285712</v>
      </c>
      <c r="J31" s="18">
        <f>25970134.4/1.12/1000</f>
        <v>23187.619999999995</v>
      </c>
      <c r="K31" s="18">
        <f t="shared" si="0"/>
        <v>7289.296964285717</v>
      </c>
      <c r="L31" s="15" t="s">
        <v>137</v>
      </c>
      <c r="M31" s="19">
        <f t="shared" si="1"/>
        <v>30476.916964285712</v>
      </c>
      <c r="N31" s="14"/>
      <c r="O31" s="14"/>
      <c r="P31" s="15"/>
      <c r="Q31" s="20"/>
      <c r="R31" s="14"/>
      <c r="S31" s="14" t="s">
        <v>77</v>
      </c>
      <c r="T31" s="14" t="s">
        <v>77</v>
      </c>
      <c r="U31" s="61"/>
      <c r="V31" s="61"/>
      <c r="W31" s="61"/>
      <c r="X31" s="64"/>
      <c r="Y31" s="16" t="s">
        <v>137</v>
      </c>
      <c r="Z31" s="16" t="s">
        <v>132</v>
      </c>
      <c r="AA31" s="38" t="s">
        <v>95</v>
      </c>
      <c r="AB31" s="39">
        <v>30.47691696428571</v>
      </c>
      <c r="AC31" s="42">
        <f t="shared" si="2"/>
        <v>30476.916964285709</v>
      </c>
      <c r="AD31" s="38" t="b">
        <f t="shared" si="3"/>
        <v>1</v>
      </c>
    </row>
    <row r="32" spans="1:30" s="40" customFormat="1" ht="45" x14ac:dyDescent="0.25">
      <c r="A32" s="13">
        <v>14</v>
      </c>
      <c r="B32" s="81"/>
      <c r="C32" s="21" t="s">
        <v>158</v>
      </c>
      <c r="D32" s="14" t="s">
        <v>42</v>
      </c>
      <c r="E32" s="14">
        <v>1</v>
      </c>
      <c r="F32" s="14"/>
      <c r="G32" s="15"/>
      <c r="H32" s="16"/>
      <c r="I32" s="17">
        <v>15297.3397232143</v>
      </c>
      <c r="J32" s="18"/>
      <c r="K32" s="18">
        <f t="shared" si="0"/>
        <v>15297.3397232143</v>
      </c>
      <c r="L32" s="15" t="s">
        <v>130</v>
      </c>
      <c r="M32" s="19">
        <f t="shared" si="1"/>
        <v>15297.3397232143</v>
      </c>
      <c r="N32" s="14"/>
      <c r="O32" s="14"/>
      <c r="P32" s="15"/>
      <c r="Q32" s="20"/>
      <c r="R32" s="14"/>
      <c r="S32" s="14" t="s">
        <v>77</v>
      </c>
      <c r="T32" s="14" t="s">
        <v>77</v>
      </c>
      <c r="U32" s="61"/>
      <c r="V32" s="61"/>
      <c r="W32" s="61"/>
      <c r="X32" s="64"/>
      <c r="Y32" s="16" t="s">
        <v>130</v>
      </c>
      <c r="Z32" s="16" t="s">
        <v>132</v>
      </c>
      <c r="AA32" s="38">
        <v>0</v>
      </c>
      <c r="AB32" s="39">
        <v>15.2973397232143</v>
      </c>
      <c r="AC32" s="42">
        <f>AB32*1000</f>
        <v>15297.3397232143</v>
      </c>
      <c r="AD32" s="38" t="b">
        <f>I32=AC32</f>
        <v>1</v>
      </c>
    </row>
    <row r="33" spans="1:30" s="40" customFormat="1" ht="45" x14ac:dyDescent="0.25">
      <c r="A33" s="13">
        <v>15</v>
      </c>
      <c r="B33" s="81"/>
      <c r="C33" s="21" t="s">
        <v>159</v>
      </c>
      <c r="D33" s="14" t="s">
        <v>42</v>
      </c>
      <c r="E33" s="14">
        <v>1</v>
      </c>
      <c r="F33" s="14"/>
      <c r="G33" s="15"/>
      <c r="H33" s="16"/>
      <c r="I33" s="17">
        <f>70236049/1.12/1000</f>
        <v>62710.75803571428</v>
      </c>
      <c r="J33" s="18"/>
      <c r="K33" s="18">
        <f t="shared" si="0"/>
        <v>62710.75803571428</v>
      </c>
      <c r="L33" s="15" t="s">
        <v>130</v>
      </c>
      <c r="M33" s="19">
        <f t="shared" si="1"/>
        <v>62710.75803571428</v>
      </c>
      <c r="N33" s="14"/>
      <c r="O33" s="14"/>
      <c r="P33" s="15"/>
      <c r="Q33" s="20"/>
      <c r="R33" s="14"/>
      <c r="S33" s="14" t="s">
        <v>77</v>
      </c>
      <c r="T33" s="14" t="s">
        <v>77</v>
      </c>
      <c r="U33" s="61"/>
      <c r="V33" s="61"/>
      <c r="W33" s="61"/>
      <c r="X33" s="64"/>
      <c r="Y33" s="16" t="s">
        <v>130</v>
      </c>
      <c r="Z33" s="16" t="s">
        <v>132</v>
      </c>
      <c r="AA33" s="38" t="s">
        <v>96</v>
      </c>
      <c r="AB33" s="39">
        <f>70.236049/1.12</f>
        <v>62.710758035714278</v>
      </c>
      <c r="AC33" s="42">
        <f t="shared" si="2"/>
        <v>62710.75803571428</v>
      </c>
      <c r="AD33" s="38" t="b">
        <f t="shared" si="3"/>
        <v>1</v>
      </c>
    </row>
    <row r="34" spans="1:30" s="40" customFormat="1" ht="45" x14ac:dyDescent="0.25">
      <c r="A34" s="13">
        <v>16</v>
      </c>
      <c r="B34" s="81"/>
      <c r="C34" s="21" t="s">
        <v>160</v>
      </c>
      <c r="D34" s="14" t="s">
        <v>42</v>
      </c>
      <c r="E34" s="14">
        <v>1</v>
      </c>
      <c r="F34" s="14"/>
      <c r="G34" s="15"/>
      <c r="H34" s="16"/>
      <c r="I34" s="17">
        <f>9987000/1.12/1000</f>
        <v>8916.9642857142862</v>
      </c>
      <c r="J34" s="18"/>
      <c r="K34" s="18">
        <f t="shared" si="0"/>
        <v>8916.9642857142862</v>
      </c>
      <c r="L34" s="15" t="s">
        <v>130</v>
      </c>
      <c r="M34" s="19">
        <f t="shared" si="1"/>
        <v>8916.9642857142862</v>
      </c>
      <c r="N34" s="14"/>
      <c r="O34" s="14"/>
      <c r="P34" s="15"/>
      <c r="Q34" s="20"/>
      <c r="R34" s="14"/>
      <c r="S34" s="14" t="s">
        <v>77</v>
      </c>
      <c r="T34" s="14" t="s">
        <v>77</v>
      </c>
      <c r="U34" s="61"/>
      <c r="V34" s="61"/>
      <c r="W34" s="61"/>
      <c r="X34" s="64"/>
      <c r="Y34" s="16" t="s">
        <v>130</v>
      </c>
      <c r="Z34" s="16" t="s">
        <v>132</v>
      </c>
      <c r="AA34" s="38" t="s">
        <v>97</v>
      </c>
      <c r="AB34" s="39">
        <v>8.9169642857142897</v>
      </c>
      <c r="AC34" s="42">
        <f>AB34*1000</f>
        <v>8916.9642857142899</v>
      </c>
      <c r="AD34" s="38" t="b">
        <f t="shared" si="3"/>
        <v>1</v>
      </c>
    </row>
    <row r="35" spans="1:30" s="40" customFormat="1" ht="45.75" thickBot="1" x14ac:dyDescent="0.3">
      <c r="A35" s="22">
        <v>17</v>
      </c>
      <c r="B35" s="82"/>
      <c r="C35" s="23" t="s">
        <v>72</v>
      </c>
      <c r="D35" s="23" t="s">
        <v>42</v>
      </c>
      <c r="E35" s="23">
        <v>205</v>
      </c>
      <c r="F35" s="23"/>
      <c r="G35" s="24"/>
      <c r="H35" s="25"/>
      <c r="I35" s="26">
        <f>12132479.99956/1.12/1000</f>
        <v>10832.571428178571</v>
      </c>
      <c r="J35" s="27"/>
      <c r="K35" s="27">
        <f>I35-J35</f>
        <v>10832.571428178571</v>
      </c>
      <c r="L35" s="24" t="s">
        <v>130</v>
      </c>
      <c r="M35" s="28">
        <f>I35</f>
        <v>10832.571428178571</v>
      </c>
      <c r="N35" s="23"/>
      <c r="O35" s="23"/>
      <c r="P35" s="24"/>
      <c r="Q35" s="29"/>
      <c r="R35" s="23"/>
      <c r="S35" s="23" t="s">
        <v>77</v>
      </c>
      <c r="T35" s="23" t="s">
        <v>77</v>
      </c>
      <c r="U35" s="62"/>
      <c r="V35" s="62"/>
      <c r="W35" s="62"/>
      <c r="X35" s="65"/>
      <c r="Y35" s="25" t="s">
        <v>130</v>
      </c>
      <c r="Z35" s="25" t="s">
        <v>132</v>
      </c>
      <c r="AA35" s="38" t="s">
        <v>98</v>
      </c>
      <c r="AB35" s="39">
        <v>10.832571428178571</v>
      </c>
      <c r="AC35" s="42">
        <f t="shared" si="2"/>
        <v>10832.571428178571</v>
      </c>
      <c r="AD35" s="38" t="b">
        <f t="shared" si="3"/>
        <v>1</v>
      </c>
    </row>
    <row r="36" spans="1:30" s="40" customFormat="1" x14ac:dyDescent="0.25">
      <c r="AB36" s="43"/>
      <c r="AC36" s="43"/>
    </row>
    <row r="37" spans="1:30" x14ac:dyDescent="0.2">
      <c r="A37" s="69" t="s">
        <v>35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30" x14ac:dyDescent="0.2">
      <c r="A38" s="69" t="s">
        <v>164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30" x14ac:dyDescent="0.2">
      <c r="A39" s="77" t="s">
        <v>140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30" x14ac:dyDescent="0.2">
      <c r="A40" s="69" t="s">
        <v>36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30" ht="12" thickBot="1" x14ac:dyDescent="0.25">
      <c r="Z41" s="32"/>
    </row>
    <row r="42" spans="1:30" s="54" customFormat="1" ht="25.5" customHeight="1" thickBot="1" x14ac:dyDescent="0.2">
      <c r="A42" s="70" t="s">
        <v>0</v>
      </c>
      <c r="B42" s="66" t="s">
        <v>1</v>
      </c>
      <c r="C42" s="67"/>
      <c r="D42" s="67"/>
      <c r="E42" s="67"/>
      <c r="F42" s="67"/>
      <c r="G42" s="68"/>
      <c r="H42" s="74" t="s">
        <v>2</v>
      </c>
      <c r="I42" s="67" t="s">
        <v>3</v>
      </c>
      <c r="J42" s="67"/>
      <c r="K42" s="67"/>
      <c r="L42" s="68"/>
      <c r="M42" s="66" t="s">
        <v>15</v>
      </c>
      <c r="N42" s="67"/>
      <c r="O42" s="67"/>
      <c r="P42" s="68"/>
      <c r="Q42" s="66" t="s">
        <v>16</v>
      </c>
      <c r="R42" s="67"/>
      <c r="S42" s="67"/>
      <c r="T42" s="67"/>
      <c r="U42" s="67"/>
      <c r="V42" s="67"/>
      <c r="W42" s="67"/>
      <c r="X42" s="68"/>
      <c r="Y42" s="74" t="s">
        <v>17</v>
      </c>
      <c r="Z42" s="74" t="s">
        <v>18</v>
      </c>
      <c r="AB42" s="55"/>
      <c r="AC42" s="55"/>
    </row>
    <row r="43" spans="1:30" s="54" customFormat="1" ht="36" customHeight="1" thickBot="1" x14ac:dyDescent="0.2">
      <c r="A43" s="79"/>
      <c r="B43" s="74" t="s">
        <v>4</v>
      </c>
      <c r="C43" s="74" t="s">
        <v>5</v>
      </c>
      <c r="D43" s="74" t="s">
        <v>6</v>
      </c>
      <c r="E43" s="66" t="s">
        <v>7</v>
      </c>
      <c r="F43" s="68"/>
      <c r="G43" s="74" t="s">
        <v>8</v>
      </c>
      <c r="H43" s="76"/>
      <c r="I43" s="71" t="s">
        <v>9</v>
      </c>
      <c r="J43" s="74" t="s">
        <v>10</v>
      </c>
      <c r="K43" s="74" t="s">
        <v>11</v>
      </c>
      <c r="L43" s="74" t="s">
        <v>12</v>
      </c>
      <c r="M43" s="70" t="s">
        <v>19</v>
      </c>
      <c r="N43" s="71"/>
      <c r="O43" s="74" t="s">
        <v>20</v>
      </c>
      <c r="P43" s="74" t="s">
        <v>21</v>
      </c>
      <c r="Q43" s="70" t="s">
        <v>22</v>
      </c>
      <c r="R43" s="71"/>
      <c r="S43" s="70" t="s">
        <v>23</v>
      </c>
      <c r="T43" s="71"/>
      <c r="U43" s="70" t="s">
        <v>24</v>
      </c>
      <c r="V43" s="71"/>
      <c r="W43" s="70" t="s">
        <v>25</v>
      </c>
      <c r="X43" s="71"/>
      <c r="Y43" s="76"/>
      <c r="Z43" s="76"/>
      <c r="AB43" s="55"/>
      <c r="AC43" s="55"/>
    </row>
    <row r="44" spans="1:30" s="54" customFormat="1" ht="65.25" customHeight="1" thickBot="1" x14ac:dyDescent="0.2">
      <c r="A44" s="79"/>
      <c r="B44" s="76"/>
      <c r="C44" s="76"/>
      <c r="D44" s="76"/>
      <c r="E44" s="74" t="s">
        <v>13</v>
      </c>
      <c r="F44" s="74" t="s">
        <v>14</v>
      </c>
      <c r="G44" s="76"/>
      <c r="H44" s="76"/>
      <c r="I44" s="83"/>
      <c r="J44" s="76"/>
      <c r="K44" s="76"/>
      <c r="L44" s="76"/>
      <c r="M44" s="72"/>
      <c r="N44" s="73"/>
      <c r="O44" s="76"/>
      <c r="P44" s="76"/>
      <c r="Q44" s="72"/>
      <c r="R44" s="73"/>
      <c r="S44" s="72"/>
      <c r="T44" s="73"/>
      <c r="U44" s="72"/>
      <c r="V44" s="73"/>
      <c r="W44" s="72"/>
      <c r="X44" s="73"/>
      <c r="Y44" s="76"/>
      <c r="Z44" s="76"/>
      <c r="AB44" s="55"/>
      <c r="AC44" s="55"/>
    </row>
    <row r="45" spans="1:30" s="58" customFormat="1" ht="32.25" thickBot="1" x14ac:dyDescent="0.2">
      <c r="A45" s="72"/>
      <c r="B45" s="75"/>
      <c r="C45" s="75"/>
      <c r="D45" s="75"/>
      <c r="E45" s="75"/>
      <c r="F45" s="75"/>
      <c r="G45" s="75"/>
      <c r="H45" s="75"/>
      <c r="I45" s="73"/>
      <c r="J45" s="75"/>
      <c r="K45" s="75"/>
      <c r="L45" s="75"/>
      <c r="M45" s="56" t="s">
        <v>26</v>
      </c>
      <c r="N45" s="56" t="s">
        <v>27</v>
      </c>
      <c r="O45" s="75"/>
      <c r="P45" s="75"/>
      <c r="Q45" s="56" t="s">
        <v>28</v>
      </c>
      <c r="R45" s="57" t="s">
        <v>29</v>
      </c>
      <c r="S45" s="57" t="s">
        <v>28</v>
      </c>
      <c r="T45" s="57" t="s">
        <v>29</v>
      </c>
      <c r="U45" s="57" t="s">
        <v>13</v>
      </c>
      <c r="V45" s="57" t="s">
        <v>14</v>
      </c>
      <c r="W45" s="57" t="s">
        <v>28</v>
      </c>
      <c r="X45" s="57" t="s">
        <v>29</v>
      </c>
      <c r="Y45" s="75"/>
      <c r="Z45" s="75"/>
      <c r="AB45" s="59"/>
      <c r="AC45" s="59"/>
    </row>
    <row r="46" spans="1:30" ht="12" thickBot="1" x14ac:dyDescent="0.25">
      <c r="A46" s="1">
        <v>1</v>
      </c>
      <c r="B46" s="2">
        <v>2</v>
      </c>
      <c r="C46" s="3">
        <v>3</v>
      </c>
      <c r="D46" s="3">
        <v>4</v>
      </c>
      <c r="E46" s="3">
        <v>5</v>
      </c>
      <c r="F46" s="3">
        <v>6</v>
      </c>
      <c r="G46" s="3">
        <v>7</v>
      </c>
      <c r="H46" s="2">
        <v>8</v>
      </c>
      <c r="I46" s="3">
        <v>9</v>
      </c>
      <c r="J46" s="3">
        <v>10</v>
      </c>
      <c r="K46" s="3">
        <v>11</v>
      </c>
      <c r="L46" s="3">
        <v>12</v>
      </c>
      <c r="M46" s="2">
        <v>13</v>
      </c>
      <c r="N46" s="3">
        <v>14</v>
      </c>
      <c r="O46" s="3">
        <v>15</v>
      </c>
      <c r="P46" s="3">
        <v>16</v>
      </c>
      <c r="Q46" s="2">
        <v>17</v>
      </c>
      <c r="R46" s="3">
        <v>18</v>
      </c>
      <c r="S46" s="3">
        <v>19</v>
      </c>
      <c r="T46" s="3">
        <v>20</v>
      </c>
      <c r="U46" s="3">
        <v>21</v>
      </c>
      <c r="V46" s="3">
        <v>22</v>
      </c>
      <c r="W46" s="3">
        <v>23</v>
      </c>
      <c r="X46" s="3">
        <v>24</v>
      </c>
      <c r="Y46" s="2">
        <v>25</v>
      </c>
      <c r="Z46" s="2">
        <v>26</v>
      </c>
    </row>
    <row r="47" spans="1:30" s="40" customFormat="1" x14ac:dyDescent="0.25">
      <c r="A47" s="4"/>
      <c r="B47" s="80" t="s">
        <v>161</v>
      </c>
      <c r="C47" s="5" t="s">
        <v>38</v>
      </c>
      <c r="D47" s="6"/>
      <c r="E47" s="6"/>
      <c r="F47" s="6"/>
      <c r="G47" s="7"/>
      <c r="H47" s="8"/>
      <c r="I47" s="9">
        <f>SUM(I48:I50)</f>
        <v>12185.714285714284</v>
      </c>
      <c r="J47" s="10">
        <f>SUM(J48:J50)</f>
        <v>11814.214285714284</v>
      </c>
      <c r="K47" s="10">
        <f>SUM(K48:K50)</f>
        <v>371.50000000000023</v>
      </c>
      <c r="L47" s="7"/>
      <c r="M47" s="11">
        <f>SUM(M48:M50)</f>
        <v>7675.37</v>
      </c>
      <c r="N47" s="10">
        <f>SUM(N48:N50)</f>
        <v>4510.3442857142845</v>
      </c>
      <c r="O47" s="6"/>
      <c r="P47" s="7"/>
      <c r="Q47" s="12"/>
      <c r="R47" s="6"/>
      <c r="S47" s="6"/>
      <c r="T47" s="6"/>
      <c r="U47" s="6"/>
      <c r="V47" s="6"/>
      <c r="W47" s="6"/>
      <c r="X47" s="7"/>
      <c r="Y47" s="8"/>
      <c r="Z47" s="8"/>
      <c r="AB47" s="43"/>
      <c r="AC47" s="43"/>
    </row>
    <row r="48" spans="1:30" s="40" customFormat="1" ht="46.5" customHeight="1" x14ac:dyDescent="0.25">
      <c r="A48" s="13">
        <v>1</v>
      </c>
      <c r="B48" s="81"/>
      <c r="C48" s="14" t="s">
        <v>55</v>
      </c>
      <c r="D48" s="14" t="s">
        <v>40</v>
      </c>
      <c r="E48" s="14">
        <v>1</v>
      </c>
      <c r="F48" s="14"/>
      <c r="G48" s="15"/>
      <c r="H48" s="16"/>
      <c r="I48" s="17">
        <f>9000000/1.12/1000</f>
        <v>8035.7142857142844</v>
      </c>
      <c r="J48" s="18">
        <f>I48</f>
        <v>8035.7142857142844</v>
      </c>
      <c r="K48" s="18">
        <f>I48-J48</f>
        <v>0</v>
      </c>
      <c r="L48" s="15"/>
      <c r="M48" s="19">
        <v>7675.37</v>
      </c>
      <c r="N48" s="18">
        <f>I48-M48</f>
        <v>360.34428571428452</v>
      </c>
      <c r="O48" s="14"/>
      <c r="P48" s="15"/>
      <c r="Q48" s="20"/>
      <c r="R48" s="14"/>
      <c r="S48" s="14" t="s">
        <v>77</v>
      </c>
      <c r="T48" s="14" t="s">
        <v>77</v>
      </c>
      <c r="U48" s="84">
        <v>0.14580000000000001</v>
      </c>
      <c r="V48" s="84">
        <v>0.14580000000000001</v>
      </c>
      <c r="W48" s="60">
        <v>4</v>
      </c>
      <c r="X48" s="63">
        <v>4</v>
      </c>
      <c r="Y48" s="16" t="s">
        <v>131</v>
      </c>
      <c r="Z48" s="16" t="s">
        <v>134</v>
      </c>
      <c r="AA48" s="38" t="s">
        <v>109</v>
      </c>
      <c r="AB48" s="39">
        <v>8.0357142857142847</v>
      </c>
      <c r="AC48" s="39">
        <f>AB48*1000</f>
        <v>8035.7142857142844</v>
      </c>
      <c r="AD48" s="38" t="b">
        <f>AC48=I48</f>
        <v>1</v>
      </c>
    </row>
    <row r="49" spans="1:32" s="40" customFormat="1" ht="40.5" customHeight="1" x14ac:dyDescent="0.25">
      <c r="A49" s="13">
        <v>2</v>
      </c>
      <c r="B49" s="81"/>
      <c r="C49" s="14" t="s">
        <v>56</v>
      </c>
      <c r="D49" s="14" t="s">
        <v>40</v>
      </c>
      <c r="E49" s="14">
        <v>1</v>
      </c>
      <c r="F49" s="14"/>
      <c r="G49" s="15"/>
      <c r="H49" s="16"/>
      <c r="I49" s="17">
        <f>4239649.377886/1.12/1000</f>
        <v>3785.4012302553569</v>
      </c>
      <c r="J49" s="18">
        <f>4231920/1.12/1000</f>
        <v>3778.4999999999995</v>
      </c>
      <c r="K49" s="18">
        <f>I49-J49</f>
        <v>6.9012302553574045</v>
      </c>
      <c r="L49" s="15" t="s">
        <v>137</v>
      </c>
      <c r="M49" s="44"/>
      <c r="N49" s="18">
        <v>3785.4012302553569</v>
      </c>
      <c r="O49" s="14"/>
      <c r="P49" s="15"/>
      <c r="Q49" s="20"/>
      <c r="R49" s="14"/>
      <c r="S49" s="14" t="s">
        <v>77</v>
      </c>
      <c r="T49" s="14" t="s">
        <v>77</v>
      </c>
      <c r="U49" s="85"/>
      <c r="V49" s="85"/>
      <c r="W49" s="61"/>
      <c r="X49" s="64"/>
      <c r="Y49" s="16" t="s">
        <v>126</v>
      </c>
      <c r="Z49" s="16" t="s">
        <v>132</v>
      </c>
      <c r="AA49" s="38" t="s">
        <v>110</v>
      </c>
      <c r="AB49" s="39">
        <v>3.7854012302553568</v>
      </c>
      <c r="AC49" s="39">
        <f>AB49*1000</f>
        <v>3785.4012302553569</v>
      </c>
      <c r="AD49" s="38" t="b">
        <f>AC49=I49</f>
        <v>1</v>
      </c>
    </row>
    <row r="50" spans="1:32" s="40" customFormat="1" ht="32.25" customHeight="1" thickBot="1" x14ac:dyDescent="0.3">
      <c r="A50" s="22">
        <v>3</v>
      </c>
      <c r="B50" s="82"/>
      <c r="C50" s="23" t="s">
        <v>73</v>
      </c>
      <c r="D50" s="23" t="s">
        <v>42</v>
      </c>
      <c r="E50" s="23">
        <v>3</v>
      </c>
      <c r="F50" s="23"/>
      <c r="G50" s="24"/>
      <c r="H50" s="25"/>
      <c r="I50" s="26">
        <f>408350.622114/1.12/1000</f>
        <v>364.59876974464282</v>
      </c>
      <c r="J50" s="27"/>
      <c r="K50" s="27">
        <f>I50-J50</f>
        <v>364.59876974464282</v>
      </c>
      <c r="L50" s="24" t="s">
        <v>130</v>
      </c>
      <c r="M50" s="28"/>
      <c r="N50" s="27">
        <v>364.59876974464282</v>
      </c>
      <c r="O50" s="23"/>
      <c r="P50" s="24"/>
      <c r="Q50" s="29"/>
      <c r="R50" s="23"/>
      <c r="S50" s="23" t="s">
        <v>77</v>
      </c>
      <c r="T50" s="23" t="s">
        <v>77</v>
      </c>
      <c r="U50" s="86"/>
      <c r="V50" s="86"/>
      <c r="W50" s="62"/>
      <c r="X50" s="65"/>
      <c r="Y50" s="25" t="s">
        <v>130</v>
      </c>
      <c r="Z50" s="25" t="s">
        <v>132</v>
      </c>
      <c r="AA50" s="38" t="s">
        <v>111</v>
      </c>
      <c r="AB50" s="39">
        <v>0.36459876974464278</v>
      </c>
      <c r="AC50" s="39">
        <f>AB50*1000</f>
        <v>364.59876974464277</v>
      </c>
      <c r="AD50" s="38" t="b">
        <f>AC50=I50</f>
        <v>1</v>
      </c>
    </row>
    <row r="51" spans="1:32" s="40" customFormat="1" x14ac:dyDescent="0.25">
      <c r="AB51" s="43"/>
      <c r="AC51" s="43"/>
    </row>
    <row r="52" spans="1:32" x14ac:dyDescent="0.2">
      <c r="A52" s="69" t="s">
        <v>35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32" x14ac:dyDescent="0.2">
      <c r="A53" s="69" t="s">
        <v>164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32" x14ac:dyDescent="0.2">
      <c r="A54" s="77" t="s">
        <v>141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32" x14ac:dyDescent="0.2">
      <c r="A55" s="69" t="s">
        <v>36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32" ht="12" thickBot="1" x14ac:dyDescent="0.25">
      <c r="Z56" s="32"/>
    </row>
    <row r="57" spans="1:32" s="54" customFormat="1" ht="35.25" customHeight="1" thickBot="1" x14ac:dyDescent="0.2">
      <c r="A57" s="70" t="s">
        <v>0</v>
      </c>
      <c r="B57" s="66" t="s">
        <v>1</v>
      </c>
      <c r="C57" s="67"/>
      <c r="D57" s="67"/>
      <c r="E57" s="67"/>
      <c r="F57" s="67"/>
      <c r="G57" s="68"/>
      <c r="H57" s="74" t="s">
        <v>2</v>
      </c>
      <c r="I57" s="67" t="s">
        <v>3</v>
      </c>
      <c r="J57" s="67"/>
      <c r="K57" s="67"/>
      <c r="L57" s="68"/>
      <c r="M57" s="66" t="s">
        <v>15</v>
      </c>
      <c r="N57" s="67"/>
      <c r="O57" s="67"/>
      <c r="P57" s="68"/>
      <c r="Q57" s="66" t="s">
        <v>16</v>
      </c>
      <c r="R57" s="67"/>
      <c r="S57" s="67"/>
      <c r="T57" s="67"/>
      <c r="U57" s="67"/>
      <c r="V57" s="67"/>
      <c r="W57" s="67"/>
      <c r="X57" s="68"/>
      <c r="Y57" s="74" t="s">
        <v>17</v>
      </c>
      <c r="Z57" s="74" t="s">
        <v>18</v>
      </c>
      <c r="AB57" s="55"/>
      <c r="AC57" s="55"/>
    </row>
    <row r="58" spans="1:32" s="54" customFormat="1" ht="33.75" customHeight="1" thickBot="1" x14ac:dyDescent="0.2">
      <c r="A58" s="79"/>
      <c r="B58" s="74" t="s">
        <v>4</v>
      </c>
      <c r="C58" s="74" t="s">
        <v>5</v>
      </c>
      <c r="D58" s="74" t="s">
        <v>6</v>
      </c>
      <c r="E58" s="66" t="s">
        <v>7</v>
      </c>
      <c r="F58" s="68"/>
      <c r="G58" s="74" t="s">
        <v>8</v>
      </c>
      <c r="H58" s="76"/>
      <c r="I58" s="71" t="s">
        <v>9</v>
      </c>
      <c r="J58" s="74" t="s">
        <v>10</v>
      </c>
      <c r="K58" s="74" t="s">
        <v>11</v>
      </c>
      <c r="L58" s="74" t="s">
        <v>12</v>
      </c>
      <c r="M58" s="70" t="s">
        <v>19</v>
      </c>
      <c r="N58" s="71"/>
      <c r="O58" s="74" t="s">
        <v>20</v>
      </c>
      <c r="P58" s="74" t="s">
        <v>21</v>
      </c>
      <c r="Q58" s="70" t="s">
        <v>22</v>
      </c>
      <c r="R58" s="71"/>
      <c r="S58" s="70" t="s">
        <v>23</v>
      </c>
      <c r="T58" s="71"/>
      <c r="U58" s="70" t="s">
        <v>24</v>
      </c>
      <c r="V58" s="71"/>
      <c r="W58" s="70" t="s">
        <v>25</v>
      </c>
      <c r="X58" s="71"/>
      <c r="Y58" s="76"/>
      <c r="Z58" s="76"/>
      <c r="AB58" s="55"/>
      <c r="AC58" s="55"/>
    </row>
    <row r="59" spans="1:32" s="54" customFormat="1" ht="68.25" customHeight="1" thickBot="1" x14ac:dyDescent="0.2">
      <c r="A59" s="79"/>
      <c r="B59" s="76"/>
      <c r="C59" s="76"/>
      <c r="D59" s="76"/>
      <c r="E59" s="74" t="s">
        <v>13</v>
      </c>
      <c r="F59" s="74" t="s">
        <v>14</v>
      </c>
      <c r="G59" s="76"/>
      <c r="H59" s="76"/>
      <c r="I59" s="83"/>
      <c r="J59" s="76"/>
      <c r="K59" s="76"/>
      <c r="L59" s="76"/>
      <c r="M59" s="72"/>
      <c r="N59" s="73"/>
      <c r="O59" s="76"/>
      <c r="P59" s="76"/>
      <c r="Q59" s="72"/>
      <c r="R59" s="73"/>
      <c r="S59" s="72"/>
      <c r="T59" s="73"/>
      <c r="U59" s="72"/>
      <c r="V59" s="73"/>
      <c r="W59" s="72"/>
      <c r="X59" s="73"/>
      <c r="Y59" s="76"/>
      <c r="Z59" s="76"/>
      <c r="AB59" s="55"/>
      <c r="AC59" s="55"/>
    </row>
    <row r="60" spans="1:32" s="58" customFormat="1" ht="32.25" thickBot="1" x14ac:dyDescent="0.2">
      <c r="A60" s="72"/>
      <c r="B60" s="75"/>
      <c r="C60" s="75"/>
      <c r="D60" s="75"/>
      <c r="E60" s="75"/>
      <c r="F60" s="75"/>
      <c r="G60" s="75"/>
      <c r="H60" s="75"/>
      <c r="I60" s="73"/>
      <c r="J60" s="75"/>
      <c r="K60" s="75"/>
      <c r="L60" s="75"/>
      <c r="M60" s="56" t="s">
        <v>26</v>
      </c>
      <c r="N60" s="56" t="s">
        <v>27</v>
      </c>
      <c r="O60" s="75"/>
      <c r="P60" s="75"/>
      <c r="Q60" s="56" t="s">
        <v>28</v>
      </c>
      <c r="R60" s="57" t="s">
        <v>29</v>
      </c>
      <c r="S60" s="57" t="s">
        <v>28</v>
      </c>
      <c r="T60" s="57" t="s">
        <v>29</v>
      </c>
      <c r="U60" s="57" t="s">
        <v>13</v>
      </c>
      <c r="V60" s="57" t="s">
        <v>14</v>
      </c>
      <c r="W60" s="57" t="s">
        <v>28</v>
      </c>
      <c r="X60" s="57" t="s">
        <v>29</v>
      </c>
      <c r="Y60" s="75"/>
      <c r="Z60" s="75"/>
      <c r="AB60" s="59"/>
      <c r="AC60" s="59"/>
    </row>
    <row r="61" spans="1:32" ht="12" thickBot="1" x14ac:dyDescent="0.25">
      <c r="A61" s="1">
        <v>1</v>
      </c>
      <c r="B61" s="2">
        <v>2</v>
      </c>
      <c r="C61" s="3">
        <v>3</v>
      </c>
      <c r="D61" s="3">
        <v>4</v>
      </c>
      <c r="E61" s="3">
        <v>5</v>
      </c>
      <c r="F61" s="3">
        <v>6</v>
      </c>
      <c r="G61" s="3">
        <v>7</v>
      </c>
      <c r="H61" s="2">
        <v>8</v>
      </c>
      <c r="I61" s="3">
        <v>9</v>
      </c>
      <c r="J61" s="3">
        <v>10</v>
      </c>
      <c r="K61" s="3">
        <v>11</v>
      </c>
      <c r="L61" s="3">
        <v>12</v>
      </c>
      <c r="M61" s="2">
        <v>13</v>
      </c>
      <c r="N61" s="3">
        <v>14</v>
      </c>
      <c r="O61" s="3">
        <v>15</v>
      </c>
      <c r="P61" s="3">
        <v>16</v>
      </c>
      <c r="Q61" s="2">
        <v>17</v>
      </c>
      <c r="R61" s="3">
        <v>18</v>
      </c>
      <c r="S61" s="3">
        <v>19</v>
      </c>
      <c r="T61" s="3">
        <v>20</v>
      </c>
      <c r="U61" s="3">
        <v>21</v>
      </c>
      <c r="V61" s="3">
        <v>22</v>
      </c>
      <c r="W61" s="3">
        <v>23</v>
      </c>
      <c r="X61" s="3">
        <v>24</v>
      </c>
      <c r="Y61" s="2">
        <v>25</v>
      </c>
      <c r="Z61" s="2">
        <v>26</v>
      </c>
    </row>
    <row r="62" spans="1:32" s="40" customFormat="1" x14ac:dyDescent="0.25">
      <c r="A62" s="4"/>
      <c r="B62" s="80" t="s">
        <v>162</v>
      </c>
      <c r="C62" s="5" t="s">
        <v>38</v>
      </c>
      <c r="D62" s="6"/>
      <c r="E62" s="6"/>
      <c r="F62" s="6"/>
      <c r="G62" s="7"/>
      <c r="H62" s="8"/>
      <c r="I62" s="9">
        <f>SUM(I63:I65)</f>
        <v>17649.107142857141</v>
      </c>
      <c r="J62" s="10">
        <f>SUM(J63:J65)</f>
        <v>17041.32143</v>
      </c>
      <c r="K62" s="10">
        <f>SUM(K63:K65)</f>
        <v>607.78571285714202</v>
      </c>
      <c r="L62" s="7"/>
      <c r="M62" s="11">
        <f>SUM(M63:M65)</f>
        <v>4991.1371428571429</v>
      </c>
      <c r="N62" s="10">
        <f>SUM(N63:N65)</f>
        <v>12657.97</v>
      </c>
      <c r="O62" s="6"/>
      <c r="P62" s="7"/>
      <c r="Q62" s="12"/>
      <c r="R62" s="6"/>
      <c r="S62" s="6"/>
      <c r="T62" s="6"/>
      <c r="U62" s="87">
        <v>0.1278</v>
      </c>
      <c r="V62" s="87">
        <v>0.1278</v>
      </c>
      <c r="W62" s="88">
        <v>16</v>
      </c>
      <c r="X62" s="89">
        <v>4</v>
      </c>
      <c r="Y62" s="8"/>
      <c r="Z62" s="8"/>
      <c r="AB62" s="43"/>
      <c r="AC62" s="43"/>
    </row>
    <row r="63" spans="1:32" s="40" customFormat="1" ht="36.75" customHeight="1" x14ac:dyDescent="0.25">
      <c r="A63" s="13">
        <v>1</v>
      </c>
      <c r="B63" s="81"/>
      <c r="C63" s="14" t="s">
        <v>143</v>
      </c>
      <c r="D63" s="14" t="s">
        <v>42</v>
      </c>
      <c r="E63" s="14">
        <v>2</v>
      </c>
      <c r="F63" s="14"/>
      <c r="G63" s="15"/>
      <c r="H63" s="16"/>
      <c r="I63" s="17">
        <f>757512.402983999/1.12/1000</f>
        <v>676.3503598071419</v>
      </c>
      <c r="J63" s="18">
        <f>757120/1.12/1000</f>
        <v>675.99999999999989</v>
      </c>
      <c r="K63" s="18">
        <f>I63-J63</f>
        <v>0.35035980714201287</v>
      </c>
      <c r="L63" s="15" t="s">
        <v>137</v>
      </c>
      <c r="M63" s="19">
        <f>I63</f>
        <v>676.3503598071419</v>
      </c>
      <c r="N63" s="14"/>
      <c r="O63" s="14"/>
      <c r="P63" s="15"/>
      <c r="Q63" s="20"/>
      <c r="R63" s="14"/>
      <c r="S63" s="14" t="s">
        <v>77</v>
      </c>
      <c r="T63" s="14" t="s">
        <v>77</v>
      </c>
      <c r="U63" s="85"/>
      <c r="V63" s="85"/>
      <c r="W63" s="61"/>
      <c r="X63" s="64"/>
      <c r="Y63" s="16" t="s">
        <v>139</v>
      </c>
      <c r="Z63" s="16" t="s">
        <v>132</v>
      </c>
      <c r="AA63" s="46" t="s">
        <v>107</v>
      </c>
      <c r="AB63" s="47">
        <f>0.757512402983999/1.12</f>
        <v>0.67635035980714187</v>
      </c>
      <c r="AC63" s="47">
        <f>AB63*1000</f>
        <v>676.3503598071419</v>
      </c>
      <c r="AD63" s="46" t="b">
        <f>AC63=I63</f>
        <v>1</v>
      </c>
      <c r="AF63" s="48"/>
    </row>
    <row r="64" spans="1:32" s="40" customFormat="1" ht="45" x14ac:dyDescent="0.25">
      <c r="A64" s="13">
        <v>2</v>
      </c>
      <c r="B64" s="81"/>
      <c r="C64" s="14" t="s">
        <v>57</v>
      </c>
      <c r="D64" s="14" t="s">
        <v>40</v>
      </c>
      <c r="E64" s="14">
        <v>1</v>
      </c>
      <c r="F64" s="14"/>
      <c r="G64" s="15"/>
      <c r="H64" s="16"/>
      <c r="I64" s="17">
        <f>18329.1600016/1.12</f>
        <v>16365.32143</v>
      </c>
      <c r="J64" s="18">
        <f>18329160.0016/1.12/1000</f>
        <v>16365.32143</v>
      </c>
      <c r="K64" s="18">
        <f>I64-J64</f>
        <v>0</v>
      </c>
      <c r="L64" s="15"/>
      <c r="M64" s="44">
        <f>I64-N64</f>
        <v>3707.3514300000006</v>
      </c>
      <c r="N64" s="18">
        <v>12657.97</v>
      </c>
      <c r="O64" s="14"/>
      <c r="P64" s="15"/>
      <c r="Q64" s="20"/>
      <c r="R64" s="14"/>
      <c r="S64" s="14" t="s">
        <v>77</v>
      </c>
      <c r="T64" s="14" t="s">
        <v>77</v>
      </c>
      <c r="U64" s="85"/>
      <c r="V64" s="85"/>
      <c r="W64" s="61"/>
      <c r="X64" s="64"/>
      <c r="Y64" s="16" t="s">
        <v>126</v>
      </c>
      <c r="Z64" s="16" t="s">
        <v>132</v>
      </c>
      <c r="AA64" s="46" t="s">
        <v>108</v>
      </c>
      <c r="AB64" s="47">
        <v>16.365321430000002</v>
      </c>
      <c r="AC64" s="47">
        <f>AB64*1000</f>
        <v>16365.321430000002</v>
      </c>
      <c r="AD64" s="46" t="b">
        <f>AC64=I64</f>
        <v>1</v>
      </c>
    </row>
    <row r="65" spans="1:30" s="40" customFormat="1" ht="45.75" thickBot="1" x14ac:dyDescent="0.3">
      <c r="A65" s="22">
        <v>3</v>
      </c>
      <c r="B65" s="82"/>
      <c r="C65" s="23" t="s">
        <v>74</v>
      </c>
      <c r="D65" s="23" t="s">
        <v>42</v>
      </c>
      <c r="E65" s="23">
        <v>605</v>
      </c>
      <c r="F65" s="23"/>
      <c r="G65" s="24"/>
      <c r="H65" s="25"/>
      <c r="I65" s="26">
        <f>680.327595416/1.12</f>
        <v>607.43535305</v>
      </c>
      <c r="J65" s="27"/>
      <c r="K65" s="27">
        <f>I65-J65</f>
        <v>607.43535305</v>
      </c>
      <c r="L65" s="24" t="s">
        <v>130</v>
      </c>
      <c r="M65" s="28">
        <f>I65</f>
        <v>607.43535305</v>
      </c>
      <c r="N65" s="23"/>
      <c r="O65" s="23"/>
      <c r="P65" s="24"/>
      <c r="Q65" s="29"/>
      <c r="R65" s="23"/>
      <c r="S65" s="23" t="s">
        <v>77</v>
      </c>
      <c r="T65" s="23" t="s">
        <v>77</v>
      </c>
      <c r="U65" s="86"/>
      <c r="V65" s="86"/>
      <c r="W65" s="62"/>
      <c r="X65" s="65"/>
      <c r="Y65" s="25" t="s">
        <v>130</v>
      </c>
      <c r="Z65" s="25" t="s">
        <v>132</v>
      </c>
      <c r="AA65" s="46" t="s">
        <v>103</v>
      </c>
      <c r="AB65" s="47">
        <v>0.60743535304999996</v>
      </c>
      <c r="AC65" s="47">
        <f>AB65*1000</f>
        <v>607.43535305</v>
      </c>
      <c r="AD65" s="46" t="b">
        <f>AC65=I65</f>
        <v>1</v>
      </c>
    </row>
    <row r="66" spans="1:30" s="40" customFormat="1" x14ac:dyDescent="0.25">
      <c r="AB66" s="43"/>
      <c r="AC66" s="43"/>
    </row>
    <row r="67" spans="1:30" s="40" customFormat="1" x14ac:dyDescent="0.25">
      <c r="AB67" s="43"/>
      <c r="AC67" s="43"/>
    </row>
    <row r="68" spans="1:30" x14ac:dyDescent="0.2">
      <c r="A68" s="69" t="s">
        <v>35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30" x14ac:dyDescent="0.2">
      <c r="A69" s="69" t="s">
        <v>164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30" x14ac:dyDescent="0.2">
      <c r="A70" s="77" t="s">
        <v>142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30" x14ac:dyDescent="0.2">
      <c r="A71" s="69" t="s">
        <v>36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30" ht="12" thickBot="1" x14ac:dyDescent="0.25">
      <c r="Z72" s="32"/>
    </row>
    <row r="73" spans="1:30" s="54" customFormat="1" ht="26.25" customHeight="1" thickBot="1" x14ac:dyDescent="0.2">
      <c r="A73" s="70" t="s">
        <v>0</v>
      </c>
      <c r="B73" s="66" t="s">
        <v>1</v>
      </c>
      <c r="C73" s="67"/>
      <c r="D73" s="67"/>
      <c r="E73" s="67"/>
      <c r="F73" s="67"/>
      <c r="G73" s="68"/>
      <c r="H73" s="74" t="s">
        <v>2</v>
      </c>
      <c r="I73" s="67" t="s">
        <v>3</v>
      </c>
      <c r="J73" s="67"/>
      <c r="K73" s="67"/>
      <c r="L73" s="68"/>
      <c r="M73" s="66" t="s">
        <v>15</v>
      </c>
      <c r="N73" s="67"/>
      <c r="O73" s="67"/>
      <c r="P73" s="68"/>
      <c r="Q73" s="66" t="s">
        <v>16</v>
      </c>
      <c r="R73" s="67"/>
      <c r="S73" s="67"/>
      <c r="T73" s="67"/>
      <c r="U73" s="67"/>
      <c r="V73" s="67"/>
      <c r="W73" s="67"/>
      <c r="X73" s="68"/>
      <c r="Y73" s="74" t="s">
        <v>17</v>
      </c>
      <c r="Z73" s="74" t="s">
        <v>18</v>
      </c>
      <c r="AB73" s="55"/>
      <c r="AC73" s="55"/>
    </row>
    <row r="74" spans="1:30" s="54" customFormat="1" ht="34.5" customHeight="1" thickBot="1" x14ac:dyDescent="0.2">
      <c r="A74" s="79"/>
      <c r="B74" s="74" t="s">
        <v>4</v>
      </c>
      <c r="C74" s="74" t="s">
        <v>5</v>
      </c>
      <c r="D74" s="74" t="s">
        <v>6</v>
      </c>
      <c r="E74" s="66" t="s">
        <v>7</v>
      </c>
      <c r="F74" s="68"/>
      <c r="G74" s="74" t="s">
        <v>8</v>
      </c>
      <c r="H74" s="76"/>
      <c r="I74" s="71" t="s">
        <v>9</v>
      </c>
      <c r="J74" s="74" t="s">
        <v>10</v>
      </c>
      <c r="K74" s="74" t="s">
        <v>11</v>
      </c>
      <c r="L74" s="74" t="s">
        <v>12</v>
      </c>
      <c r="M74" s="70" t="s">
        <v>19</v>
      </c>
      <c r="N74" s="71"/>
      <c r="O74" s="74" t="s">
        <v>20</v>
      </c>
      <c r="P74" s="74" t="s">
        <v>21</v>
      </c>
      <c r="Q74" s="70" t="s">
        <v>22</v>
      </c>
      <c r="R74" s="71"/>
      <c r="S74" s="70" t="s">
        <v>23</v>
      </c>
      <c r="T74" s="71"/>
      <c r="U74" s="70" t="s">
        <v>24</v>
      </c>
      <c r="V74" s="71"/>
      <c r="W74" s="70" t="s">
        <v>25</v>
      </c>
      <c r="X74" s="71"/>
      <c r="Y74" s="76"/>
      <c r="Z74" s="76"/>
      <c r="AB74" s="55"/>
      <c r="AC74" s="55"/>
    </row>
    <row r="75" spans="1:30" s="54" customFormat="1" ht="70.5" customHeight="1" thickBot="1" x14ac:dyDescent="0.2">
      <c r="A75" s="79"/>
      <c r="B75" s="76"/>
      <c r="C75" s="76"/>
      <c r="D75" s="76"/>
      <c r="E75" s="74" t="s">
        <v>13</v>
      </c>
      <c r="F75" s="74" t="s">
        <v>14</v>
      </c>
      <c r="G75" s="76"/>
      <c r="H75" s="76"/>
      <c r="I75" s="83"/>
      <c r="J75" s="76"/>
      <c r="K75" s="76"/>
      <c r="L75" s="76"/>
      <c r="M75" s="72"/>
      <c r="N75" s="73"/>
      <c r="O75" s="76"/>
      <c r="P75" s="76"/>
      <c r="Q75" s="72"/>
      <c r="R75" s="73"/>
      <c r="S75" s="72"/>
      <c r="T75" s="73"/>
      <c r="U75" s="72"/>
      <c r="V75" s="73"/>
      <c r="W75" s="72"/>
      <c r="X75" s="73"/>
      <c r="Y75" s="76"/>
      <c r="Z75" s="76"/>
      <c r="AB75" s="55"/>
      <c r="AC75" s="55"/>
    </row>
    <row r="76" spans="1:30" s="58" customFormat="1" ht="32.25" thickBot="1" x14ac:dyDescent="0.2">
      <c r="A76" s="72"/>
      <c r="B76" s="75"/>
      <c r="C76" s="75"/>
      <c r="D76" s="75"/>
      <c r="E76" s="75"/>
      <c r="F76" s="75"/>
      <c r="G76" s="75"/>
      <c r="H76" s="75"/>
      <c r="I76" s="73"/>
      <c r="J76" s="75"/>
      <c r="K76" s="75"/>
      <c r="L76" s="75"/>
      <c r="M76" s="56" t="s">
        <v>26</v>
      </c>
      <c r="N76" s="56" t="s">
        <v>27</v>
      </c>
      <c r="O76" s="75"/>
      <c r="P76" s="75"/>
      <c r="Q76" s="56" t="s">
        <v>28</v>
      </c>
      <c r="R76" s="57" t="s">
        <v>29</v>
      </c>
      <c r="S76" s="57" t="s">
        <v>28</v>
      </c>
      <c r="T76" s="57" t="s">
        <v>29</v>
      </c>
      <c r="U76" s="57" t="s">
        <v>13</v>
      </c>
      <c r="V76" s="57" t="s">
        <v>14</v>
      </c>
      <c r="W76" s="57" t="s">
        <v>28</v>
      </c>
      <c r="X76" s="57" t="s">
        <v>29</v>
      </c>
      <c r="Y76" s="75"/>
      <c r="Z76" s="75"/>
      <c r="AB76" s="59"/>
      <c r="AC76" s="59"/>
    </row>
    <row r="77" spans="1:30" ht="12" thickBot="1" x14ac:dyDescent="0.25">
      <c r="A77" s="1">
        <v>1</v>
      </c>
      <c r="B77" s="2">
        <v>2</v>
      </c>
      <c r="C77" s="3">
        <v>3</v>
      </c>
      <c r="D77" s="3">
        <v>4</v>
      </c>
      <c r="E77" s="3">
        <v>5</v>
      </c>
      <c r="F77" s="3">
        <v>6</v>
      </c>
      <c r="G77" s="3">
        <v>7</v>
      </c>
      <c r="H77" s="2">
        <v>8</v>
      </c>
      <c r="I77" s="3">
        <v>9</v>
      </c>
      <c r="J77" s="3">
        <v>10</v>
      </c>
      <c r="K77" s="3">
        <v>11</v>
      </c>
      <c r="L77" s="3">
        <v>12</v>
      </c>
      <c r="M77" s="2">
        <v>13</v>
      </c>
      <c r="N77" s="3">
        <v>14</v>
      </c>
      <c r="O77" s="3">
        <v>15</v>
      </c>
      <c r="P77" s="3">
        <v>16</v>
      </c>
      <c r="Q77" s="2">
        <v>17</v>
      </c>
      <c r="R77" s="3">
        <v>18</v>
      </c>
      <c r="S77" s="3">
        <v>19</v>
      </c>
      <c r="T77" s="3">
        <v>20</v>
      </c>
      <c r="U77" s="3">
        <v>21</v>
      </c>
      <c r="V77" s="3">
        <v>22</v>
      </c>
      <c r="W77" s="3">
        <v>23</v>
      </c>
      <c r="X77" s="3">
        <v>24</v>
      </c>
      <c r="Y77" s="2">
        <v>25</v>
      </c>
      <c r="Z77" s="2">
        <v>26</v>
      </c>
    </row>
    <row r="78" spans="1:30" s="40" customFormat="1" x14ac:dyDescent="0.25">
      <c r="A78" s="4"/>
      <c r="B78" s="80" t="s">
        <v>163</v>
      </c>
      <c r="C78" s="5" t="s">
        <v>38</v>
      </c>
      <c r="D78" s="6"/>
      <c r="E78" s="6"/>
      <c r="F78" s="6"/>
      <c r="G78" s="7"/>
      <c r="H78" s="8"/>
      <c r="I78" s="9">
        <f>SUM(I79:I81)</f>
        <v>32144.423449530354</v>
      </c>
      <c r="J78" s="10">
        <f>SUM(J79:J81)</f>
        <v>28275.644211380357</v>
      </c>
      <c r="K78" s="10">
        <f>SUM(K79:K81)</f>
        <v>3868.7792381499994</v>
      </c>
      <c r="L78" s="7"/>
      <c r="M78" s="11">
        <f>SUM(M79:M81)</f>
        <v>9034.26</v>
      </c>
      <c r="N78" s="10">
        <f>SUM(N79:N81)</f>
        <v>23110.163449530355</v>
      </c>
      <c r="O78" s="6"/>
      <c r="P78" s="7"/>
      <c r="Q78" s="12"/>
      <c r="R78" s="6"/>
      <c r="S78" s="6"/>
      <c r="T78" s="6"/>
      <c r="U78" s="6"/>
      <c r="V78" s="6"/>
      <c r="W78" s="6"/>
      <c r="X78" s="7"/>
      <c r="Y78" s="8"/>
      <c r="Z78" s="8"/>
      <c r="AB78" s="43"/>
      <c r="AC78" s="43"/>
    </row>
    <row r="79" spans="1:30" s="40" customFormat="1" ht="36" customHeight="1" x14ac:dyDescent="0.25">
      <c r="A79" s="13">
        <v>1</v>
      </c>
      <c r="B79" s="81"/>
      <c r="C79" s="14" t="s">
        <v>58</v>
      </c>
      <c r="D79" s="14" t="s">
        <v>40</v>
      </c>
      <c r="E79" s="14">
        <v>1</v>
      </c>
      <c r="F79" s="14"/>
      <c r="G79" s="15"/>
      <c r="H79" s="16"/>
      <c r="I79" s="17">
        <f>23610.373516746/1.12</f>
        <v>21080.690639951783</v>
      </c>
      <c r="J79" s="18">
        <f>20758969.516746/1.12/1000</f>
        <v>18534.794211380355</v>
      </c>
      <c r="K79" s="18">
        <f>I79-J79</f>
        <v>2545.8964285714283</v>
      </c>
      <c r="L79" s="15" t="s">
        <v>137</v>
      </c>
      <c r="M79" s="19"/>
      <c r="N79" s="18">
        <f>I79</f>
        <v>21080.690639951783</v>
      </c>
      <c r="O79" s="14"/>
      <c r="P79" s="15"/>
      <c r="Q79" s="20"/>
      <c r="R79" s="14"/>
      <c r="S79" s="14" t="s">
        <v>77</v>
      </c>
      <c r="T79" s="14" t="s">
        <v>77</v>
      </c>
      <c r="U79" s="84">
        <v>9.0999999999999998E-2</v>
      </c>
      <c r="V79" s="84">
        <v>9.0999999999999998E-2</v>
      </c>
      <c r="W79" s="60">
        <v>6</v>
      </c>
      <c r="X79" s="63">
        <v>6</v>
      </c>
      <c r="Y79" s="16" t="s">
        <v>126</v>
      </c>
      <c r="Z79" s="16" t="s">
        <v>132</v>
      </c>
      <c r="AA79" s="38" t="s">
        <v>104</v>
      </c>
      <c r="AB79" s="39">
        <f>'[1]ИП 21_на 01.07.'!$BI$166/1.12</f>
        <v>21.080690639951786</v>
      </c>
      <c r="AC79" s="39">
        <f>AB79*1000</f>
        <v>21080.690639951787</v>
      </c>
      <c r="AD79" s="38" t="b">
        <f>I79=AC79</f>
        <v>1</v>
      </c>
    </row>
    <row r="80" spans="1:30" s="40" customFormat="1" ht="45" x14ac:dyDescent="0.25">
      <c r="A80" s="13">
        <v>2</v>
      </c>
      <c r="B80" s="81"/>
      <c r="C80" s="14" t="s">
        <v>59</v>
      </c>
      <c r="D80" s="14" t="s">
        <v>40</v>
      </c>
      <c r="E80" s="14">
        <v>1</v>
      </c>
      <c r="F80" s="14"/>
      <c r="G80" s="15"/>
      <c r="H80" s="16"/>
      <c r="I80" s="17">
        <v>9740.85</v>
      </c>
      <c r="J80" s="18">
        <f>10909752/1.12/1000</f>
        <v>9740.85</v>
      </c>
      <c r="K80" s="18">
        <f>I80-J80</f>
        <v>0</v>
      </c>
      <c r="L80" s="15"/>
      <c r="M80" s="44">
        <v>9034.26</v>
      </c>
      <c r="N80" s="18">
        <f>I80-M80</f>
        <v>706.59000000000015</v>
      </c>
      <c r="O80" s="14"/>
      <c r="P80" s="15"/>
      <c r="Q80" s="20"/>
      <c r="R80" s="14"/>
      <c r="S80" s="14" t="s">
        <v>77</v>
      </c>
      <c r="T80" s="14" t="s">
        <v>77</v>
      </c>
      <c r="U80" s="85"/>
      <c r="V80" s="85"/>
      <c r="W80" s="61"/>
      <c r="X80" s="64"/>
      <c r="Y80" s="16" t="s">
        <v>126</v>
      </c>
      <c r="Z80" s="16" t="s">
        <v>132</v>
      </c>
      <c r="AA80" s="38" t="s">
        <v>105</v>
      </c>
      <c r="AB80" s="39">
        <f>'[1]ИП 21_на 01.07.'!$BI$169/1.12</f>
        <v>9.7408500000000018</v>
      </c>
      <c r="AC80" s="39">
        <f>AB80*1000</f>
        <v>9740.8500000000022</v>
      </c>
      <c r="AD80" s="38" t="b">
        <f>I80=AC80</f>
        <v>1</v>
      </c>
    </row>
    <row r="81" spans="1:30" s="40" customFormat="1" ht="45.75" thickBot="1" x14ac:dyDescent="0.3">
      <c r="A81" s="22">
        <v>3</v>
      </c>
      <c r="B81" s="82"/>
      <c r="C81" s="23" t="s">
        <v>75</v>
      </c>
      <c r="D81" s="23" t="s">
        <v>42</v>
      </c>
      <c r="E81" s="23">
        <v>532</v>
      </c>
      <c r="F81" s="23"/>
      <c r="G81" s="24"/>
      <c r="H81" s="25"/>
      <c r="I81" s="26">
        <f>1481.628746728/1.12</f>
        <v>1322.8828095785711</v>
      </c>
      <c r="J81" s="27"/>
      <c r="K81" s="27">
        <f>I81-J81</f>
        <v>1322.8828095785711</v>
      </c>
      <c r="L81" s="24" t="s">
        <v>130</v>
      </c>
      <c r="M81" s="28"/>
      <c r="N81" s="27">
        <f>I81</f>
        <v>1322.8828095785711</v>
      </c>
      <c r="O81" s="23"/>
      <c r="P81" s="24"/>
      <c r="Q81" s="29"/>
      <c r="R81" s="23"/>
      <c r="S81" s="23" t="s">
        <v>77</v>
      </c>
      <c r="T81" s="23" t="s">
        <v>77</v>
      </c>
      <c r="U81" s="86"/>
      <c r="V81" s="86"/>
      <c r="W81" s="62"/>
      <c r="X81" s="65"/>
      <c r="Y81" s="25" t="s">
        <v>130</v>
      </c>
      <c r="Z81" s="25" t="s">
        <v>132</v>
      </c>
      <c r="AA81" s="38" t="s">
        <v>106</v>
      </c>
      <c r="AB81" s="39">
        <f>'[1]ИП 21_на 01.07.'!$BI$168/1.12</f>
        <v>1.3228828095785714</v>
      </c>
      <c r="AC81" s="39">
        <f>AB81*1000</f>
        <v>1322.8828095785714</v>
      </c>
      <c r="AD81" s="38" t="b">
        <f>I81=AC81</f>
        <v>1</v>
      </c>
    </row>
    <row r="82" spans="1:30" s="40" customFormat="1" x14ac:dyDescent="0.25">
      <c r="AB82" s="43"/>
      <c r="AC82" s="43"/>
    </row>
    <row r="83" spans="1:30" x14ac:dyDescent="0.2">
      <c r="A83" s="69" t="s">
        <v>35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30" x14ac:dyDescent="0.2">
      <c r="A84" s="69" t="s">
        <v>164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30" x14ac:dyDescent="0.2">
      <c r="A85" s="77" t="s">
        <v>60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</row>
    <row r="86" spans="1:30" x14ac:dyDescent="0.2">
      <c r="A86" s="69" t="s">
        <v>36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30" ht="12" thickBot="1" x14ac:dyDescent="0.25">
      <c r="M87" s="45"/>
      <c r="N87" s="45"/>
      <c r="Z87" s="32"/>
    </row>
    <row r="88" spans="1:30" s="54" customFormat="1" ht="29.25" customHeight="1" thickBot="1" x14ac:dyDescent="0.2">
      <c r="A88" s="70" t="s">
        <v>0</v>
      </c>
      <c r="B88" s="66" t="s">
        <v>1</v>
      </c>
      <c r="C88" s="67"/>
      <c r="D88" s="67"/>
      <c r="E88" s="67"/>
      <c r="F88" s="67"/>
      <c r="G88" s="68"/>
      <c r="H88" s="74" t="s">
        <v>2</v>
      </c>
      <c r="I88" s="67" t="s">
        <v>3</v>
      </c>
      <c r="J88" s="67"/>
      <c r="K88" s="67"/>
      <c r="L88" s="68"/>
      <c r="M88" s="66" t="s">
        <v>15</v>
      </c>
      <c r="N88" s="67"/>
      <c r="O88" s="67"/>
      <c r="P88" s="68"/>
      <c r="Q88" s="66" t="s">
        <v>16</v>
      </c>
      <c r="R88" s="67"/>
      <c r="S88" s="67"/>
      <c r="T88" s="67"/>
      <c r="U88" s="67"/>
      <c r="V88" s="67"/>
      <c r="W88" s="67"/>
      <c r="X88" s="68"/>
      <c r="Y88" s="74" t="s">
        <v>17</v>
      </c>
      <c r="Z88" s="74" t="s">
        <v>18</v>
      </c>
      <c r="AB88" s="55"/>
      <c r="AC88" s="55"/>
    </row>
    <row r="89" spans="1:30" s="54" customFormat="1" ht="30" customHeight="1" thickBot="1" x14ac:dyDescent="0.2">
      <c r="A89" s="79"/>
      <c r="B89" s="74" t="s">
        <v>4</v>
      </c>
      <c r="C89" s="74" t="s">
        <v>5</v>
      </c>
      <c r="D89" s="74" t="s">
        <v>6</v>
      </c>
      <c r="E89" s="66" t="s">
        <v>7</v>
      </c>
      <c r="F89" s="68"/>
      <c r="G89" s="74" t="s">
        <v>8</v>
      </c>
      <c r="H89" s="76"/>
      <c r="I89" s="71" t="s">
        <v>9</v>
      </c>
      <c r="J89" s="74" t="s">
        <v>10</v>
      </c>
      <c r="K89" s="74" t="s">
        <v>11</v>
      </c>
      <c r="L89" s="74" t="s">
        <v>12</v>
      </c>
      <c r="M89" s="70" t="s">
        <v>19</v>
      </c>
      <c r="N89" s="71"/>
      <c r="O89" s="74" t="s">
        <v>20</v>
      </c>
      <c r="P89" s="74" t="s">
        <v>21</v>
      </c>
      <c r="Q89" s="70" t="s">
        <v>22</v>
      </c>
      <c r="R89" s="71"/>
      <c r="S89" s="70" t="s">
        <v>23</v>
      </c>
      <c r="T89" s="71"/>
      <c r="U89" s="70" t="s">
        <v>24</v>
      </c>
      <c r="V89" s="71"/>
      <c r="W89" s="70" t="s">
        <v>25</v>
      </c>
      <c r="X89" s="71"/>
      <c r="Y89" s="76"/>
      <c r="Z89" s="76"/>
      <c r="AB89" s="55"/>
      <c r="AC89" s="55"/>
    </row>
    <row r="90" spans="1:30" s="54" customFormat="1" ht="66.75" customHeight="1" thickBot="1" x14ac:dyDescent="0.2">
      <c r="A90" s="79"/>
      <c r="B90" s="76"/>
      <c r="C90" s="76"/>
      <c r="D90" s="76"/>
      <c r="E90" s="74" t="s">
        <v>13</v>
      </c>
      <c r="F90" s="74" t="s">
        <v>14</v>
      </c>
      <c r="G90" s="76"/>
      <c r="H90" s="76"/>
      <c r="I90" s="83"/>
      <c r="J90" s="76"/>
      <c r="K90" s="76"/>
      <c r="L90" s="76"/>
      <c r="M90" s="72"/>
      <c r="N90" s="73"/>
      <c r="O90" s="76"/>
      <c r="P90" s="76"/>
      <c r="Q90" s="72"/>
      <c r="R90" s="73"/>
      <c r="S90" s="72"/>
      <c r="T90" s="73"/>
      <c r="U90" s="72"/>
      <c r="V90" s="73"/>
      <c r="W90" s="72"/>
      <c r="X90" s="73"/>
      <c r="Y90" s="76"/>
      <c r="Z90" s="76"/>
      <c r="AB90" s="55"/>
      <c r="AC90" s="55"/>
    </row>
    <row r="91" spans="1:30" s="58" customFormat="1" ht="32.25" thickBot="1" x14ac:dyDescent="0.2">
      <c r="A91" s="72"/>
      <c r="B91" s="75"/>
      <c r="C91" s="75"/>
      <c r="D91" s="75"/>
      <c r="E91" s="75"/>
      <c r="F91" s="75"/>
      <c r="G91" s="75"/>
      <c r="H91" s="75"/>
      <c r="I91" s="73"/>
      <c r="J91" s="75"/>
      <c r="K91" s="75"/>
      <c r="L91" s="75"/>
      <c r="M91" s="56" t="s">
        <v>26</v>
      </c>
      <c r="N91" s="56" t="s">
        <v>27</v>
      </c>
      <c r="O91" s="75"/>
      <c r="P91" s="75"/>
      <c r="Q91" s="56" t="s">
        <v>28</v>
      </c>
      <c r="R91" s="57" t="s">
        <v>29</v>
      </c>
      <c r="S91" s="57" t="s">
        <v>28</v>
      </c>
      <c r="T91" s="57" t="s">
        <v>29</v>
      </c>
      <c r="U91" s="57" t="s">
        <v>13</v>
      </c>
      <c r="V91" s="57" t="s">
        <v>14</v>
      </c>
      <c r="W91" s="57" t="s">
        <v>28</v>
      </c>
      <c r="X91" s="57" t="s">
        <v>29</v>
      </c>
      <c r="Y91" s="75"/>
      <c r="Z91" s="75"/>
      <c r="AB91" s="59"/>
      <c r="AC91" s="59"/>
    </row>
    <row r="92" spans="1:30" ht="12" thickBot="1" x14ac:dyDescent="0.25">
      <c r="A92" s="1">
        <v>1</v>
      </c>
      <c r="B92" s="2">
        <v>2</v>
      </c>
      <c r="C92" s="3">
        <v>3</v>
      </c>
      <c r="D92" s="3">
        <v>4</v>
      </c>
      <c r="E92" s="3">
        <v>5</v>
      </c>
      <c r="F92" s="3">
        <v>6</v>
      </c>
      <c r="G92" s="3">
        <v>7</v>
      </c>
      <c r="H92" s="2">
        <v>8</v>
      </c>
      <c r="I92" s="3">
        <v>9</v>
      </c>
      <c r="J92" s="3">
        <v>10</v>
      </c>
      <c r="K92" s="3">
        <v>11</v>
      </c>
      <c r="L92" s="3">
        <v>12</v>
      </c>
      <c r="M92" s="2">
        <v>13</v>
      </c>
      <c r="N92" s="3">
        <v>14</v>
      </c>
      <c r="O92" s="3">
        <v>15</v>
      </c>
      <c r="P92" s="3">
        <v>16</v>
      </c>
      <c r="Q92" s="2">
        <v>17</v>
      </c>
      <c r="R92" s="3">
        <v>18</v>
      </c>
      <c r="S92" s="3">
        <v>19</v>
      </c>
      <c r="T92" s="3">
        <v>20</v>
      </c>
      <c r="U92" s="3">
        <v>21</v>
      </c>
      <c r="V92" s="3">
        <v>22</v>
      </c>
      <c r="W92" s="3">
        <v>23</v>
      </c>
      <c r="X92" s="3">
        <v>24</v>
      </c>
      <c r="Y92" s="2">
        <v>25</v>
      </c>
      <c r="Z92" s="2">
        <v>26</v>
      </c>
    </row>
    <row r="93" spans="1:30" s="40" customFormat="1" x14ac:dyDescent="0.25">
      <c r="A93" s="4"/>
      <c r="B93" s="80" t="s">
        <v>80</v>
      </c>
      <c r="C93" s="5" t="s">
        <v>38</v>
      </c>
      <c r="D93" s="6"/>
      <c r="E93" s="6"/>
      <c r="F93" s="6"/>
      <c r="G93" s="7"/>
      <c r="H93" s="8"/>
      <c r="I93" s="9">
        <f>SUM(I94:I98)</f>
        <v>11021.428571428571</v>
      </c>
      <c r="J93" s="10">
        <f>SUM(J94:J98)</f>
        <v>3914.2991099999999</v>
      </c>
      <c r="K93" s="10">
        <f>SUM(K94:K98)</f>
        <v>7107.1294614285707</v>
      </c>
      <c r="L93" s="7"/>
      <c r="M93" s="11">
        <f>SUM(M94:M98)</f>
        <v>3268.7601935714288</v>
      </c>
      <c r="N93" s="10">
        <f>SUM(N94:N98)</f>
        <v>7752.6683778571423</v>
      </c>
      <c r="O93" s="6"/>
      <c r="P93" s="7"/>
      <c r="Q93" s="12"/>
      <c r="R93" s="6"/>
      <c r="S93" s="6"/>
      <c r="T93" s="6"/>
      <c r="U93" s="6"/>
      <c r="V93" s="6"/>
      <c r="W93" s="6"/>
      <c r="X93" s="7"/>
      <c r="Y93" s="8"/>
      <c r="Z93" s="8"/>
      <c r="AB93" s="43"/>
      <c r="AC93" s="43"/>
    </row>
    <row r="94" spans="1:30" s="40" customFormat="1" ht="37.5" customHeight="1" x14ac:dyDescent="0.25">
      <c r="A94" s="13">
        <v>1</v>
      </c>
      <c r="B94" s="81"/>
      <c r="C94" s="14" t="s">
        <v>144</v>
      </c>
      <c r="D94" s="14" t="s">
        <v>42</v>
      </c>
      <c r="E94" s="14">
        <v>2</v>
      </c>
      <c r="F94" s="14"/>
      <c r="G94" s="15"/>
      <c r="H94" s="16"/>
      <c r="I94" s="17">
        <f>1215.345817376/1.12</f>
        <v>1085.1301940857143</v>
      </c>
      <c r="J94" s="18">
        <f>1208.48/1.12</f>
        <v>1079</v>
      </c>
      <c r="K94" s="18">
        <f>I94-J94</f>
        <v>6.1301940857142654</v>
      </c>
      <c r="L94" s="15" t="s">
        <v>137</v>
      </c>
      <c r="M94" s="19">
        <f>I94</f>
        <v>1085.1301940857143</v>
      </c>
      <c r="N94" s="18"/>
      <c r="O94" s="14"/>
      <c r="P94" s="15"/>
      <c r="Q94" s="20"/>
      <c r="R94" s="14"/>
      <c r="S94" s="14" t="s">
        <v>77</v>
      </c>
      <c r="T94" s="14" t="s">
        <v>77</v>
      </c>
      <c r="U94" s="60" t="s">
        <v>78</v>
      </c>
      <c r="V94" s="60" t="s">
        <v>78</v>
      </c>
      <c r="W94" s="60">
        <v>16</v>
      </c>
      <c r="X94" s="63">
        <v>1</v>
      </c>
      <c r="Y94" s="16" t="s">
        <v>127</v>
      </c>
      <c r="Z94" s="16" t="s">
        <v>132</v>
      </c>
      <c r="AA94" s="38" t="s">
        <v>99</v>
      </c>
      <c r="AB94" s="39">
        <v>1.0851301940857143</v>
      </c>
      <c r="AC94" s="39">
        <f>AB94*1000</f>
        <v>1085.1301940857143</v>
      </c>
      <c r="AD94" s="38" t="b">
        <f>I94=AC94</f>
        <v>1</v>
      </c>
    </row>
    <row r="95" spans="1:30" s="40" customFormat="1" ht="45" x14ac:dyDescent="0.25">
      <c r="A95" s="13">
        <v>2</v>
      </c>
      <c r="B95" s="81"/>
      <c r="C95" s="14" t="s">
        <v>145</v>
      </c>
      <c r="D95" s="14" t="s">
        <v>42</v>
      </c>
      <c r="E95" s="14">
        <v>1</v>
      </c>
      <c r="F95" s="14"/>
      <c r="G95" s="15"/>
      <c r="H95" s="16"/>
      <c r="I95" s="17">
        <f>416.416/1.12</f>
        <v>371.79999999999995</v>
      </c>
      <c r="J95" s="18">
        <f>416.416/1.12</f>
        <v>371.79999999999995</v>
      </c>
      <c r="K95" s="18">
        <f>I95-J95</f>
        <v>0</v>
      </c>
      <c r="L95" s="15"/>
      <c r="M95" s="19">
        <f>I95</f>
        <v>371.79999999999995</v>
      </c>
      <c r="N95" s="18"/>
      <c r="O95" s="14"/>
      <c r="P95" s="15"/>
      <c r="Q95" s="20"/>
      <c r="R95" s="14"/>
      <c r="S95" s="14" t="s">
        <v>77</v>
      </c>
      <c r="T95" s="14" t="s">
        <v>77</v>
      </c>
      <c r="U95" s="61"/>
      <c r="V95" s="61"/>
      <c r="W95" s="61"/>
      <c r="X95" s="64"/>
      <c r="Y95" s="16" t="s">
        <v>128</v>
      </c>
      <c r="Z95" s="16" t="s">
        <v>132</v>
      </c>
      <c r="AA95" s="38" t="s">
        <v>100</v>
      </c>
      <c r="AB95" s="39">
        <v>0.37179999999999996</v>
      </c>
      <c r="AC95" s="39">
        <f>AB95*1000</f>
        <v>371.79999999999995</v>
      </c>
      <c r="AD95" s="38" t="b">
        <f>I95=AC95</f>
        <v>1</v>
      </c>
    </row>
    <row r="96" spans="1:30" s="40" customFormat="1" ht="45" x14ac:dyDescent="0.25">
      <c r="A96" s="13">
        <v>3</v>
      </c>
      <c r="B96" s="81"/>
      <c r="C96" s="14" t="s">
        <v>61</v>
      </c>
      <c r="D96" s="14" t="s">
        <v>40</v>
      </c>
      <c r="E96" s="14">
        <v>1</v>
      </c>
      <c r="F96" s="14"/>
      <c r="G96" s="15"/>
      <c r="H96" s="16"/>
      <c r="I96" s="17">
        <f>7405.785/1.12</f>
        <v>6612.3080357142853</v>
      </c>
      <c r="J96" s="18"/>
      <c r="K96" s="18">
        <f>I96-J96</f>
        <v>6612.3080357142853</v>
      </c>
      <c r="L96" s="15" t="s">
        <v>130</v>
      </c>
      <c r="M96" s="19"/>
      <c r="N96" s="18">
        <f>I96</f>
        <v>6612.3080357142853</v>
      </c>
      <c r="O96" s="14"/>
      <c r="P96" s="15"/>
      <c r="Q96" s="20"/>
      <c r="R96" s="14"/>
      <c r="S96" s="14" t="s">
        <v>77</v>
      </c>
      <c r="T96" s="14" t="s">
        <v>77</v>
      </c>
      <c r="U96" s="61"/>
      <c r="V96" s="61"/>
      <c r="W96" s="61"/>
      <c r="X96" s="64"/>
      <c r="Y96" s="16" t="s">
        <v>130</v>
      </c>
      <c r="Z96" s="16" t="s">
        <v>132</v>
      </c>
      <c r="AA96" s="38" t="s">
        <v>101</v>
      </c>
      <c r="AB96" s="39">
        <v>6.6123080357142854</v>
      </c>
      <c r="AC96" s="39">
        <f>AB96*1000</f>
        <v>6612.3080357142853</v>
      </c>
      <c r="AD96" s="38" t="b">
        <f>I96=AC96</f>
        <v>1</v>
      </c>
    </row>
    <row r="97" spans="1:33" s="40" customFormat="1" ht="27" customHeight="1" x14ac:dyDescent="0.25">
      <c r="A97" s="13">
        <v>4</v>
      </c>
      <c r="B97" s="81"/>
      <c r="C97" s="14" t="s">
        <v>62</v>
      </c>
      <c r="D97" s="14" t="s">
        <v>40</v>
      </c>
      <c r="E97" s="14">
        <v>1</v>
      </c>
      <c r="F97" s="14"/>
      <c r="G97" s="15"/>
      <c r="H97" s="16"/>
      <c r="I97" s="17">
        <v>2463.4991100000002</v>
      </c>
      <c r="J97" s="18">
        <f>2759119.0032/1.12/1000</f>
        <v>2463.4991099999997</v>
      </c>
      <c r="K97" s="18">
        <f>I97-J97</f>
        <v>0</v>
      </c>
      <c r="L97" s="15"/>
      <c r="M97" s="19">
        <v>1323.1387678571432</v>
      </c>
      <c r="N97" s="18">
        <f>I97-M97</f>
        <v>1140.360342142857</v>
      </c>
      <c r="O97" s="14"/>
      <c r="P97" s="15"/>
      <c r="Q97" s="20"/>
      <c r="R97" s="14"/>
      <c r="S97" s="14" t="s">
        <v>77</v>
      </c>
      <c r="T97" s="14" t="s">
        <v>77</v>
      </c>
      <c r="U97" s="61"/>
      <c r="V97" s="61"/>
      <c r="W97" s="61"/>
      <c r="X97" s="64"/>
      <c r="Y97" s="16" t="s">
        <v>126</v>
      </c>
      <c r="Z97" s="16" t="s">
        <v>132</v>
      </c>
      <c r="AA97" s="38" t="s">
        <v>102</v>
      </c>
      <c r="AB97" s="39">
        <v>2.4634991099999994</v>
      </c>
      <c r="AC97" s="39">
        <f>AB97*1000</f>
        <v>2463.4991099999993</v>
      </c>
      <c r="AD97" s="38" t="b">
        <f>I97=AC97</f>
        <v>1</v>
      </c>
    </row>
    <row r="98" spans="1:33" s="40" customFormat="1" ht="45.75" thickBot="1" x14ac:dyDescent="0.3">
      <c r="A98" s="22">
        <v>5</v>
      </c>
      <c r="B98" s="82"/>
      <c r="C98" s="49" t="s">
        <v>76</v>
      </c>
      <c r="D98" s="23" t="s">
        <v>42</v>
      </c>
      <c r="E98" s="23">
        <v>12</v>
      </c>
      <c r="F98" s="23"/>
      <c r="G98" s="24"/>
      <c r="H98" s="25"/>
      <c r="I98" s="26">
        <v>488.69123162857102</v>
      </c>
      <c r="J98" s="27"/>
      <c r="K98" s="27">
        <f>I98-J98</f>
        <v>488.69123162857102</v>
      </c>
      <c r="L98" s="24" t="s">
        <v>130</v>
      </c>
      <c r="M98" s="50">
        <f>I98</f>
        <v>488.69123162857102</v>
      </c>
      <c r="N98" s="27"/>
      <c r="O98" s="23"/>
      <c r="P98" s="24"/>
      <c r="Q98" s="29"/>
      <c r="R98" s="23"/>
      <c r="S98" s="23" t="s">
        <v>77</v>
      </c>
      <c r="T98" s="23" t="s">
        <v>77</v>
      </c>
      <c r="U98" s="62"/>
      <c r="V98" s="62"/>
      <c r="W98" s="62"/>
      <c r="X98" s="65"/>
      <c r="Y98" s="25" t="s">
        <v>130</v>
      </c>
      <c r="Z98" s="25" t="s">
        <v>132</v>
      </c>
      <c r="AA98" s="38" t="s">
        <v>103</v>
      </c>
      <c r="AB98" s="39">
        <v>0.48869123162857098</v>
      </c>
      <c r="AC98" s="39">
        <f>AB98*1000</f>
        <v>488.69123162857096</v>
      </c>
      <c r="AD98" s="38" t="b">
        <f>I98=AC98</f>
        <v>1</v>
      </c>
    </row>
    <row r="99" spans="1:33" s="40" customFormat="1" x14ac:dyDescent="0.25">
      <c r="AB99" s="43"/>
      <c r="AC99" s="43"/>
    </row>
    <row r="100" spans="1:33" x14ac:dyDescent="0.2">
      <c r="A100" s="69" t="s">
        <v>35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33" x14ac:dyDescent="0.2">
      <c r="A101" s="69" t="s">
        <v>164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33" x14ac:dyDescent="0.2">
      <c r="A102" s="77" t="s">
        <v>63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33" x14ac:dyDescent="0.2">
      <c r="A103" s="69" t="s">
        <v>36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33" ht="12" thickBot="1" x14ac:dyDescent="0.25">
      <c r="I104" s="36">
        <v>273698.77799999999</v>
      </c>
      <c r="J104" s="37">
        <f>I104-I110</f>
        <v>-1.0641092005535029</v>
      </c>
      <c r="M104" s="45"/>
      <c r="N104" s="45"/>
    </row>
    <row r="105" spans="1:33" s="54" customFormat="1" ht="28.5" customHeight="1" thickBot="1" x14ac:dyDescent="0.2">
      <c r="A105" s="70" t="s">
        <v>0</v>
      </c>
      <c r="B105" s="66" t="s">
        <v>1</v>
      </c>
      <c r="C105" s="67"/>
      <c r="D105" s="67"/>
      <c r="E105" s="67"/>
      <c r="F105" s="67"/>
      <c r="G105" s="68"/>
      <c r="H105" s="74" t="s">
        <v>2</v>
      </c>
      <c r="I105" s="67" t="s">
        <v>3</v>
      </c>
      <c r="J105" s="67"/>
      <c r="K105" s="67"/>
      <c r="L105" s="68"/>
      <c r="M105" s="66" t="s">
        <v>15</v>
      </c>
      <c r="N105" s="67"/>
      <c r="O105" s="67"/>
      <c r="P105" s="68"/>
      <c r="Q105" s="66" t="s">
        <v>16</v>
      </c>
      <c r="R105" s="67"/>
      <c r="S105" s="67"/>
      <c r="T105" s="67"/>
      <c r="U105" s="67"/>
      <c r="V105" s="67"/>
      <c r="W105" s="67"/>
      <c r="X105" s="68"/>
      <c r="Y105" s="74" t="s">
        <v>17</v>
      </c>
      <c r="Z105" s="74" t="s">
        <v>18</v>
      </c>
      <c r="AB105" s="55"/>
      <c r="AC105" s="55"/>
    </row>
    <row r="106" spans="1:33" s="54" customFormat="1" ht="33.75" customHeight="1" thickBot="1" x14ac:dyDescent="0.2">
      <c r="A106" s="79"/>
      <c r="B106" s="74" t="s">
        <v>4</v>
      </c>
      <c r="C106" s="74" t="s">
        <v>5</v>
      </c>
      <c r="D106" s="74" t="s">
        <v>6</v>
      </c>
      <c r="E106" s="66" t="s">
        <v>7</v>
      </c>
      <c r="F106" s="68"/>
      <c r="G106" s="74" t="s">
        <v>8</v>
      </c>
      <c r="H106" s="76"/>
      <c r="I106" s="71" t="s">
        <v>9</v>
      </c>
      <c r="J106" s="74" t="s">
        <v>10</v>
      </c>
      <c r="K106" s="74" t="s">
        <v>11</v>
      </c>
      <c r="L106" s="74" t="s">
        <v>12</v>
      </c>
      <c r="M106" s="70" t="s">
        <v>19</v>
      </c>
      <c r="N106" s="71"/>
      <c r="O106" s="74" t="s">
        <v>20</v>
      </c>
      <c r="P106" s="74" t="s">
        <v>21</v>
      </c>
      <c r="Q106" s="70" t="s">
        <v>22</v>
      </c>
      <c r="R106" s="71"/>
      <c r="S106" s="70" t="s">
        <v>23</v>
      </c>
      <c r="T106" s="71"/>
      <c r="U106" s="70" t="s">
        <v>24</v>
      </c>
      <c r="V106" s="71"/>
      <c r="W106" s="70" t="s">
        <v>25</v>
      </c>
      <c r="X106" s="71"/>
      <c r="Y106" s="76"/>
      <c r="Z106" s="76"/>
      <c r="AB106" s="55"/>
      <c r="AC106" s="55"/>
    </row>
    <row r="107" spans="1:33" s="54" customFormat="1" ht="28.5" customHeight="1" thickBot="1" x14ac:dyDescent="0.2">
      <c r="A107" s="79"/>
      <c r="B107" s="76"/>
      <c r="C107" s="76"/>
      <c r="D107" s="76"/>
      <c r="E107" s="74" t="s">
        <v>13</v>
      </c>
      <c r="F107" s="74" t="s">
        <v>14</v>
      </c>
      <c r="G107" s="76"/>
      <c r="H107" s="76"/>
      <c r="I107" s="83"/>
      <c r="J107" s="76"/>
      <c r="K107" s="76"/>
      <c r="L107" s="76"/>
      <c r="M107" s="72"/>
      <c r="N107" s="73"/>
      <c r="O107" s="76"/>
      <c r="P107" s="76"/>
      <c r="Q107" s="72"/>
      <c r="R107" s="73"/>
      <c r="S107" s="72"/>
      <c r="T107" s="73"/>
      <c r="U107" s="72"/>
      <c r="V107" s="73"/>
      <c r="W107" s="72"/>
      <c r="X107" s="73"/>
      <c r="Y107" s="76"/>
      <c r="Z107" s="76"/>
      <c r="AB107" s="55"/>
      <c r="AC107" s="55"/>
    </row>
    <row r="108" spans="1:33" s="58" customFormat="1" ht="28.5" customHeight="1" thickBot="1" x14ac:dyDescent="0.2">
      <c r="A108" s="72"/>
      <c r="B108" s="75"/>
      <c r="C108" s="75"/>
      <c r="D108" s="75"/>
      <c r="E108" s="75"/>
      <c r="F108" s="75"/>
      <c r="G108" s="75"/>
      <c r="H108" s="75"/>
      <c r="I108" s="73"/>
      <c r="J108" s="75"/>
      <c r="K108" s="75"/>
      <c r="L108" s="75"/>
      <c r="M108" s="56" t="s">
        <v>26</v>
      </c>
      <c r="N108" s="56" t="s">
        <v>27</v>
      </c>
      <c r="O108" s="75"/>
      <c r="P108" s="75"/>
      <c r="Q108" s="56" t="s">
        <v>28</v>
      </c>
      <c r="R108" s="57" t="s">
        <v>29</v>
      </c>
      <c r="S108" s="57" t="s">
        <v>28</v>
      </c>
      <c r="T108" s="57" t="s">
        <v>29</v>
      </c>
      <c r="U108" s="57" t="s">
        <v>13</v>
      </c>
      <c r="V108" s="57" t="s">
        <v>14</v>
      </c>
      <c r="W108" s="57" t="s">
        <v>28</v>
      </c>
      <c r="X108" s="57" t="s">
        <v>29</v>
      </c>
      <c r="Y108" s="75"/>
      <c r="Z108" s="75"/>
      <c r="AB108" s="59"/>
      <c r="AC108" s="59"/>
    </row>
    <row r="109" spans="1:33" ht="12" thickBot="1" x14ac:dyDescent="0.25">
      <c r="A109" s="1">
        <v>1</v>
      </c>
      <c r="B109" s="2">
        <v>2</v>
      </c>
      <c r="C109" s="3">
        <v>3</v>
      </c>
      <c r="D109" s="3">
        <v>4</v>
      </c>
      <c r="E109" s="3">
        <v>5</v>
      </c>
      <c r="F109" s="3">
        <v>6</v>
      </c>
      <c r="G109" s="3">
        <v>7</v>
      </c>
      <c r="H109" s="2">
        <v>8</v>
      </c>
      <c r="I109" s="3">
        <v>9</v>
      </c>
      <c r="J109" s="3">
        <v>10</v>
      </c>
      <c r="K109" s="3">
        <v>11</v>
      </c>
      <c r="L109" s="3">
        <v>12</v>
      </c>
      <c r="M109" s="2">
        <v>13</v>
      </c>
      <c r="N109" s="3">
        <v>14</v>
      </c>
      <c r="O109" s="3">
        <v>15</v>
      </c>
      <c r="P109" s="3">
        <v>16</v>
      </c>
      <c r="Q109" s="2">
        <v>17</v>
      </c>
      <c r="R109" s="3">
        <v>18</v>
      </c>
      <c r="S109" s="3">
        <v>19</v>
      </c>
      <c r="T109" s="3">
        <v>20</v>
      </c>
      <c r="U109" s="3">
        <v>21</v>
      </c>
      <c r="V109" s="3">
        <v>22</v>
      </c>
      <c r="W109" s="3">
        <v>23</v>
      </c>
      <c r="X109" s="3">
        <v>24</v>
      </c>
      <c r="Y109" s="2">
        <v>25</v>
      </c>
      <c r="Z109" s="2">
        <v>26</v>
      </c>
    </row>
    <row r="110" spans="1:33" s="40" customFormat="1" x14ac:dyDescent="0.25">
      <c r="A110" s="4"/>
      <c r="B110" s="80" t="s">
        <v>81</v>
      </c>
      <c r="C110" s="5" t="s">
        <v>38</v>
      </c>
      <c r="D110" s="6"/>
      <c r="E110" s="6"/>
      <c r="F110" s="6"/>
      <c r="G110" s="7"/>
      <c r="H110" s="8"/>
      <c r="I110" s="9">
        <f>SUM(I111:I125)</f>
        <v>273699.84210920054</v>
      </c>
      <c r="J110" s="10">
        <f>SUM(J111:J125)</f>
        <v>210008.96868749999</v>
      </c>
      <c r="K110" s="10">
        <f>SUM(K111:K125)</f>
        <v>63690.873421700533</v>
      </c>
      <c r="L110" s="7"/>
      <c r="M110" s="11">
        <f>SUM(M111:M125)</f>
        <v>130761.89014247882</v>
      </c>
      <c r="N110" s="10">
        <f>SUM(N111:N125)</f>
        <v>142937.95196672168</v>
      </c>
      <c r="O110" s="5" t="s">
        <v>77</v>
      </c>
      <c r="P110" s="51" t="s">
        <v>77</v>
      </c>
      <c r="Q110" s="12"/>
      <c r="R110" s="6"/>
      <c r="S110" s="6"/>
      <c r="T110" s="6"/>
      <c r="U110" s="6"/>
      <c r="V110" s="6"/>
      <c r="W110" s="6"/>
      <c r="X110" s="7"/>
      <c r="Y110" s="8"/>
      <c r="Z110" s="8"/>
      <c r="AB110" s="43"/>
      <c r="AC110" s="43"/>
    </row>
    <row r="111" spans="1:33" s="40" customFormat="1" ht="45" x14ac:dyDescent="0.25">
      <c r="A111" s="13">
        <v>1</v>
      </c>
      <c r="B111" s="81"/>
      <c r="C111" s="14" t="s">
        <v>64</v>
      </c>
      <c r="D111" s="14" t="s">
        <v>40</v>
      </c>
      <c r="E111" s="14">
        <v>1</v>
      </c>
      <c r="F111" s="14"/>
      <c r="G111" s="15"/>
      <c r="H111" s="16"/>
      <c r="I111" s="17">
        <f>4462593.05/1.12/1000</f>
        <v>3984.4580803571421</v>
      </c>
      <c r="J111" s="18">
        <f>4462593.05/1.12/1000</f>
        <v>3984.4580803571421</v>
      </c>
      <c r="K111" s="18">
        <f>I111-J111</f>
        <v>0</v>
      </c>
      <c r="L111" s="15"/>
      <c r="M111" s="19" t="s">
        <v>77</v>
      </c>
      <c r="N111" s="18">
        <f>I111</f>
        <v>3984.4580803571421</v>
      </c>
      <c r="O111" s="14" t="s">
        <v>77</v>
      </c>
      <c r="P111" s="15" t="s">
        <v>77</v>
      </c>
      <c r="Q111" s="20"/>
      <c r="R111" s="14"/>
      <c r="S111" s="14" t="s">
        <v>77</v>
      </c>
      <c r="T111" s="14" t="s">
        <v>77</v>
      </c>
      <c r="U111" s="60" t="s">
        <v>78</v>
      </c>
      <c r="V111" s="60" t="s">
        <v>78</v>
      </c>
      <c r="W111" s="60">
        <v>5</v>
      </c>
      <c r="X111" s="63">
        <v>1</v>
      </c>
      <c r="Y111" s="16" t="s">
        <v>126</v>
      </c>
      <c r="Z111" s="16" t="s">
        <v>132</v>
      </c>
      <c r="AA111" s="52" t="s">
        <v>112</v>
      </c>
      <c r="AB111" s="47">
        <f>'[1]ИП 21_на 01.07.'!$BI$186/1.12</f>
        <v>3.9844580803571423</v>
      </c>
      <c r="AC111" s="47">
        <f>AB111*1000</f>
        <v>3984.4580803571425</v>
      </c>
      <c r="AD111" s="46" t="b">
        <f>AC111=I111</f>
        <v>1</v>
      </c>
      <c r="AE111" s="46"/>
      <c r="AF111" s="46"/>
      <c r="AG111" s="46"/>
    </row>
    <row r="112" spans="1:33" s="40" customFormat="1" ht="45" x14ac:dyDescent="0.25">
      <c r="A112" s="13">
        <v>2</v>
      </c>
      <c r="B112" s="81"/>
      <c r="C112" s="14" t="s">
        <v>65</v>
      </c>
      <c r="D112" s="14" t="s">
        <v>40</v>
      </c>
      <c r="E112" s="14">
        <v>1</v>
      </c>
      <c r="F112" s="14"/>
      <c r="G112" s="15"/>
      <c r="H112" s="16"/>
      <c r="I112" s="17">
        <f>18363029.0043614/1.12/1000</f>
        <v>16395.561611036963</v>
      </c>
      <c r="J112" s="18">
        <f>(13659.52+4703.509)/1.12</f>
        <v>16395.561607142856</v>
      </c>
      <c r="K112" s="18">
        <f>I112-J112</f>
        <v>3.8941070670261979E-6</v>
      </c>
      <c r="L112" s="15"/>
      <c r="M112" s="19">
        <f>I112</f>
        <v>16395.561611036963</v>
      </c>
      <c r="N112" s="18" t="s">
        <v>77</v>
      </c>
      <c r="O112" s="14" t="s">
        <v>77</v>
      </c>
      <c r="P112" s="15" t="s">
        <v>77</v>
      </c>
      <c r="Q112" s="20"/>
      <c r="R112" s="14"/>
      <c r="S112" s="14" t="s">
        <v>77</v>
      </c>
      <c r="T112" s="14" t="s">
        <v>77</v>
      </c>
      <c r="U112" s="61"/>
      <c r="V112" s="61"/>
      <c r="W112" s="61"/>
      <c r="X112" s="64"/>
      <c r="Y112" s="16" t="s">
        <v>126</v>
      </c>
      <c r="Z112" s="16" t="s">
        <v>132</v>
      </c>
      <c r="AA112" s="46" t="s">
        <v>113</v>
      </c>
      <c r="AB112" s="47">
        <v>16.395561611036999</v>
      </c>
      <c r="AC112" s="47">
        <f t="shared" ref="AC112:AC125" si="4">AB112*1000</f>
        <v>16395.561611036999</v>
      </c>
      <c r="AD112" s="46" t="b">
        <f t="shared" ref="AD112:AD125" si="5">AC112=I112</f>
        <v>1</v>
      </c>
      <c r="AE112" s="46"/>
      <c r="AF112" s="46"/>
      <c r="AG112" s="46"/>
    </row>
    <row r="113" spans="1:33" s="40" customFormat="1" ht="27.75" customHeight="1" x14ac:dyDescent="0.25">
      <c r="A113" s="13">
        <v>3</v>
      </c>
      <c r="B113" s="81"/>
      <c r="C113" s="14" t="s">
        <v>146</v>
      </c>
      <c r="D113" s="14" t="s">
        <v>42</v>
      </c>
      <c r="E113" s="14">
        <v>2</v>
      </c>
      <c r="F113" s="14"/>
      <c r="G113" s="15"/>
      <c r="H113" s="16"/>
      <c r="I113" s="17">
        <f>3136000/1.12/1000</f>
        <v>2799.9999999999995</v>
      </c>
      <c r="J113" s="18">
        <f>3136/1.12</f>
        <v>2799.9999999999995</v>
      </c>
      <c r="K113" s="18">
        <f t="shared" ref="K113:K124" si="6">I113-J113</f>
        <v>0</v>
      </c>
      <c r="L113" s="15"/>
      <c r="M113" s="19">
        <f>I113</f>
        <v>2799.9999999999995</v>
      </c>
      <c r="N113" s="18" t="s">
        <v>77</v>
      </c>
      <c r="O113" s="14" t="s">
        <v>77</v>
      </c>
      <c r="P113" s="15" t="s">
        <v>77</v>
      </c>
      <c r="Q113" s="20"/>
      <c r="R113" s="14"/>
      <c r="S113" s="14" t="s">
        <v>77</v>
      </c>
      <c r="T113" s="14" t="s">
        <v>77</v>
      </c>
      <c r="U113" s="61"/>
      <c r="V113" s="61"/>
      <c r="W113" s="61"/>
      <c r="X113" s="64"/>
      <c r="Y113" s="16" t="s">
        <v>128</v>
      </c>
      <c r="Z113" s="16" t="s">
        <v>132</v>
      </c>
      <c r="AA113" s="46" t="s">
        <v>114</v>
      </c>
      <c r="AB113" s="47">
        <f>'[1]ИП 21_на 01.07.'!$BI$187/1.12</f>
        <v>2.8</v>
      </c>
      <c r="AC113" s="47">
        <f t="shared" si="4"/>
        <v>2800</v>
      </c>
      <c r="AD113" s="46" t="b">
        <f t="shared" si="5"/>
        <v>1</v>
      </c>
      <c r="AE113" s="46"/>
      <c r="AF113" s="46"/>
      <c r="AG113" s="46"/>
    </row>
    <row r="114" spans="1:33" s="40" customFormat="1" ht="45" x14ac:dyDescent="0.25">
      <c r="A114" s="13">
        <v>4</v>
      </c>
      <c r="B114" s="81"/>
      <c r="C114" s="14" t="s">
        <v>147</v>
      </c>
      <c r="D114" s="14" t="s">
        <v>42</v>
      </c>
      <c r="E114" s="14" t="s">
        <v>66</v>
      </c>
      <c r="F114" s="14"/>
      <c r="G114" s="15"/>
      <c r="H114" s="16"/>
      <c r="I114" s="17">
        <f>34059200/1.12/1000</f>
        <v>30409.999999999996</v>
      </c>
      <c r="J114" s="18">
        <f>34059.2/1.12</f>
        <v>30409.999999999993</v>
      </c>
      <c r="K114" s="18">
        <f t="shared" si="6"/>
        <v>0</v>
      </c>
      <c r="L114" s="15"/>
      <c r="M114" s="19">
        <f t="shared" ref="M114:M124" si="7">I114</f>
        <v>30409.999999999996</v>
      </c>
      <c r="N114" s="18" t="s">
        <v>77</v>
      </c>
      <c r="O114" s="14" t="s">
        <v>77</v>
      </c>
      <c r="P114" s="15" t="s">
        <v>77</v>
      </c>
      <c r="Q114" s="20"/>
      <c r="R114" s="14"/>
      <c r="S114" s="14" t="s">
        <v>77</v>
      </c>
      <c r="T114" s="14" t="s">
        <v>77</v>
      </c>
      <c r="U114" s="61"/>
      <c r="V114" s="61"/>
      <c r="W114" s="61"/>
      <c r="X114" s="64"/>
      <c r="Y114" s="16" t="s">
        <v>128</v>
      </c>
      <c r="Z114" s="16" t="s">
        <v>132</v>
      </c>
      <c r="AA114" s="46" t="s">
        <v>115</v>
      </c>
      <c r="AB114" s="47">
        <f>'[1]ИП 21_на 01.07.'!$BI$188/1.12</f>
        <v>30.410000000000007</v>
      </c>
      <c r="AC114" s="47">
        <f t="shared" si="4"/>
        <v>30410.000000000007</v>
      </c>
      <c r="AD114" s="46" t="b">
        <f t="shared" si="5"/>
        <v>1</v>
      </c>
      <c r="AE114" s="46"/>
      <c r="AF114" s="46"/>
      <c r="AG114" s="46"/>
    </row>
    <row r="115" spans="1:33" s="40" customFormat="1" ht="45" x14ac:dyDescent="0.25">
      <c r="A115" s="13">
        <v>5</v>
      </c>
      <c r="B115" s="81"/>
      <c r="C115" s="14" t="s">
        <v>148</v>
      </c>
      <c r="D115" s="14" t="s">
        <v>42</v>
      </c>
      <c r="E115" s="14" t="s">
        <v>66</v>
      </c>
      <c r="F115" s="14"/>
      <c r="G115" s="15"/>
      <c r="H115" s="16"/>
      <c r="I115" s="17">
        <f>18928000/1.12/1000</f>
        <v>16900</v>
      </c>
      <c r="J115" s="17">
        <f>18928/1.12</f>
        <v>16900</v>
      </c>
      <c r="K115" s="18">
        <f t="shared" si="6"/>
        <v>0</v>
      </c>
      <c r="L115" s="15"/>
      <c r="M115" s="19">
        <f t="shared" si="7"/>
        <v>16900</v>
      </c>
      <c r="N115" s="18" t="s">
        <v>77</v>
      </c>
      <c r="O115" s="14" t="s">
        <v>77</v>
      </c>
      <c r="P115" s="15" t="s">
        <v>77</v>
      </c>
      <c r="Q115" s="20"/>
      <c r="R115" s="14"/>
      <c r="S115" s="14" t="s">
        <v>77</v>
      </c>
      <c r="T115" s="14" t="s">
        <v>77</v>
      </c>
      <c r="U115" s="61"/>
      <c r="V115" s="61"/>
      <c r="W115" s="61"/>
      <c r="X115" s="64"/>
      <c r="Y115" s="16" t="s">
        <v>128</v>
      </c>
      <c r="Z115" s="16" t="s">
        <v>132</v>
      </c>
      <c r="AA115" s="46" t="s">
        <v>116</v>
      </c>
      <c r="AB115" s="47">
        <f>'[1]ИП 21_на 01.07.'!$BI$189/1.12</f>
        <v>16.899999999999999</v>
      </c>
      <c r="AC115" s="47">
        <f t="shared" si="4"/>
        <v>16900</v>
      </c>
      <c r="AD115" s="46" t="b">
        <f t="shared" si="5"/>
        <v>1</v>
      </c>
      <c r="AE115" s="46"/>
      <c r="AF115" s="46"/>
      <c r="AG115" s="46"/>
    </row>
    <row r="116" spans="1:33" s="40" customFormat="1" ht="45" x14ac:dyDescent="0.25">
      <c r="A116" s="13">
        <v>6</v>
      </c>
      <c r="B116" s="81"/>
      <c r="C116" s="14" t="s">
        <v>149</v>
      </c>
      <c r="D116" s="14" t="s">
        <v>42</v>
      </c>
      <c r="E116" s="14" t="s">
        <v>66</v>
      </c>
      <c r="F116" s="14"/>
      <c r="G116" s="15"/>
      <c r="H116" s="16"/>
      <c r="I116" s="17">
        <f>11537120/1.12/1000</f>
        <v>10300.999999999998</v>
      </c>
      <c r="J116" s="18">
        <f>11537.12/1.12</f>
        <v>10301</v>
      </c>
      <c r="K116" s="18">
        <f t="shared" si="6"/>
        <v>0</v>
      </c>
      <c r="L116" s="15"/>
      <c r="M116" s="19">
        <f t="shared" si="7"/>
        <v>10300.999999999998</v>
      </c>
      <c r="N116" s="18" t="s">
        <v>77</v>
      </c>
      <c r="O116" s="14" t="s">
        <v>77</v>
      </c>
      <c r="P116" s="15" t="s">
        <v>77</v>
      </c>
      <c r="Q116" s="20"/>
      <c r="R116" s="14"/>
      <c r="S116" s="14" t="s">
        <v>77</v>
      </c>
      <c r="T116" s="14" t="s">
        <v>77</v>
      </c>
      <c r="U116" s="61"/>
      <c r="V116" s="61"/>
      <c r="W116" s="61"/>
      <c r="X116" s="64"/>
      <c r="Y116" s="16" t="s">
        <v>128</v>
      </c>
      <c r="Z116" s="16" t="s">
        <v>132</v>
      </c>
      <c r="AA116" s="46" t="s">
        <v>117</v>
      </c>
      <c r="AB116" s="47">
        <f>'[1]ИП 21_на 01.07.'!$BI$190/1.12</f>
        <v>10.300999999999998</v>
      </c>
      <c r="AC116" s="47">
        <f t="shared" si="4"/>
        <v>10300.999999999998</v>
      </c>
      <c r="AD116" s="46" t="b">
        <f t="shared" si="5"/>
        <v>1</v>
      </c>
      <c r="AE116" s="46"/>
      <c r="AF116" s="46"/>
      <c r="AG116" s="46"/>
    </row>
    <row r="117" spans="1:33" s="40" customFormat="1" ht="39" customHeight="1" x14ac:dyDescent="0.25">
      <c r="A117" s="13">
        <v>7</v>
      </c>
      <c r="B117" s="81"/>
      <c r="C117" s="14" t="s">
        <v>150</v>
      </c>
      <c r="D117" s="14" t="s">
        <v>67</v>
      </c>
      <c r="E117" s="14">
        <v>1</v>
      </c>
      <c r="F117" s="14"/>
      <c r="G117" s="15"/>
      <c r="H117" s="16"/>
      <c r="I117" s="17">
        <f>60319826.9847912/1.12/1000</f>
        <v>53856.988379277849</v>
      </c>
      <c r="J117" s="18">
        <f>59920000/1.12/1000</f>
        <v>53499.999999999993</v>
      </c>
      <c r="K117" s="18">
        <f t="shared" si="6"/>
        <v>356.98837927785644</v>
      </c>
      <c r="L117" s="15" t="s">
        <v>137</v>
      </c>
      <c r="M117" s="19"/>
      <c r="N117" s="18">
        <f>I117-M117</f>
        <v>53856.988379277849</v>
      </c>
      <c r="O117" s="14" t="s">
        <v>77</v>
      </c>
      <c r="P117" s="15" t="s">
        <v>77</v>
      </c>
      <c r="Q117" s="20"/>
      <c r="R117" s="14"/>
      <c r="S117" s="14" t="s">
        <v>77</v>
      </c>
      <c r="T117" s="14" t="s">
        <v>77</v>
      </c>
      <c r="U117" s="61"/>
      <c r="V117" s="61"/>
      <c r="W117" s="61"/>
      <c r="X117" s="64"/>
      <c r="Y117" s="16" t="s">
        <v>129</v>
      </c>
      <c r="Z117" s="16" t="s">
        <v>132</v>
      </c>
      <c r="AA117" s="46" t="s">
        <v>118</v>
      </c>
      <c r="AB117" s="47">
        <f>'[1]ИП 21_на 01.07.'!$BI$191/1.12</f>
        <v>53.856988379277851</v>
      </c>
      <c r="AC117" s="47">
        <f t="shared" si="4"/>
        <v>53856.988379277849</v>
      </c>
      <c r="AD117" s="46" t="b">
        <f t="shared" si="5"/>
        <v>1</v>
      </c>
      <c r="AE117" s="46"/>
      <c r="AF117" s="46"/>
      <c r="AG117" s="46"/>
    </row>
    <row r="118" spans="1:33" s="40" customFormat="1" ht="45" x14ac:dyDescent="0.25">
      <c r="A118" s="13">
        <v>8</v>
      </c>
      <c r="B118" s="81"/>
      <c r="C118" s="14" t="s">
        <v>151</v>
      </c>
      <c r="D118" s="14" t="s">
        <v>42</v>
      </c>
      <c r="E118" s="14" t="s">
        <v>66</v>
      </c>
      <c r="F118" s="14"/>
      <c r="G118" s="15"/>
      <c r="H118" s="16"/>
      <c r="I118" s="17">
        <f>29899999.36/1.12/1000</f>
        <v>26696.427999999996</v>
      </c>
      <c r="J118" s="18">
        <f>29899.99936/1.12</f>
        <v>26696.428</v>
      </c>
      <c r="K118" s="18">
        <f t="shared" si="6"/>
        <v>0</v>
      </c>
      <c r="L118" s="15"/>
      <c r="M118" s="19">
        <v>4933.8071028704435</v>
      </c>
      <c r="N118" s="18">
        <f>I118-M118</f>
        <v>21762.620897129553</v>
      </c>
      <c r="O118" s="14" t="s">
        <v>77</v>
      </c>
      <c r="P118" s="15" t="s">
        <v>77</v>
      </c>
      <c r="Q118" s="20"/>
      <c r="R118" s="14"/>
      <c r="S118" s="14" t="s">
        <v>77</v>
      </c>
      <c r="T118" s="14" t="s">
        <v>77</v>
      </c>
      <c r="U118" s="61"/>
      <c r="V118" s="61"/>
      <c r="W118" s="61"/>
      <c r="X118" s="64"/>
      <c r="Y118" s="16" t="s">
        <v>128</v>
      </c>
      <c r="Z118" s="16" t="s">
        <v>132</v>
      </c>
      <c r="AA118" s="46" t="s">
        <v>119</v>
      </c>
      <c r="AB118" s="47">
        <f>'[1]ИП 21_на 01.07.'!$BI$192/1.12</f>
        <v>26.696428000000001</v>
      </c>
      <c r="AC118" s="47">
        <f t="shared" si="4"/>
        <v>26696.428</v>
      </c>
      <c r="AD118" s="46" t="b">
        <f t="shared" si="5"/>
        <v>1</v>
      </c>
      <c r="AE118" s="46"/>
      <c r="AF118" s="46"/>
      <c r="AG118" s="46"/>
    </row>
    <row r="119" spans="1:33" s="40" customFormat="1" ht="45" x14ac:dyDescent="0.25">
      <c r="A119" s="13">
        <v>9</v>
      </c>
      <c r="B119" s="81"/>
      <c r="C119" s="21" t="s">
        <v>152</v>
      </c>
      <c r="D119" s="14" t="s">
        <v>42</v>
      </c>
      <c r="E119" s="14">
        <v>70</v>
      </c>
      <c r="F119" s="14"/>
      <c r="G119" s="15"/>
      <c r="H119" s="16"/>
      <c r="I119" s="17">
        <f>5009760/1.12/1000</f>
        <v>4473</v>
      </c>
      <c r="J119" s="18">
        <f>5009.76/1.12</f>
        <v>4473</v>
      </c>
      <c r="K119" s="18">
        <f t="shared" si="6"/>
        <v>0</v>
      </c>
      <c r="L119" s="15"/>
      <c r="M119" s="19">
        <f t="shared" si="7"/>
        <v>4473</v>
      </c>
      <c r="N119" s="18" t="s">
        <v>77</v>
      </c>
      <c r="O119" s="14" t="s">
        <v>77</v>
      </c>
      <c r="P119" s="15" t="s">
        <v>77</v>
      </c>
      <c r="Q119" s="20"/>
      <c r="R119" s="14"/>
      <c r="S119" s="14" t="s">
        <v>77</v>
      </c>
      <c r="T119" s="14" t="s">
        <v>77</v>
      </c>
      <c r="U119" s="61"/>
      <c r="V119" s="61"/>
      <c r="W119" s="61"/>
      <c r="X119" s="64"/>
      <c r="Y119" s="16" t="s">
        <v>128</v>
      </c>
      <c r="Z119" s="16" t="s">
        <v>132</v>
      </c>
      <c r="AA119" s="46" t="s">
        <v>125</v>
      </c>
      <c r="AB119" s="47">
        <f>'[2]ИП 21_на 01.07.'!$BI$194/1.12</f>
        <v>4.4729999999999999</v>
      </c>
      <c r="AC119" s="47">
        <f t="shared" si="4"/>
        <v>4473</v>
      </c>
      <c r="AD119" s="46" t="b">
        <f t="shared" si="5"/>
        <v>1</v>
      </c>
      <c r="AE119" s="46"/>
      <c r="AF119" s="46"/>
      <c r="AG119" s="46"/>
    </row>
    <row r="120" spans="1:33" s="40" customFormat="1" ht="23.25" customHeight="1" x14ac:dyDescent="0.25">
      <c r="A120" s="13">
        <v>10</v>
      </c>
      <c r="B120" s="81"/>
      <c r="C120" s="14" t="s">
        <v>153</v>
      </c>
      <c r="D120" s="14" t="s">
        <v>42</v>
      </c>
      <c r="E120" s="14" t="s">
        <v>68</v>
      </c>
      <c r="F120" s="14"/>
      <c r="G120" s="15"/>
      <c r="H120" s="16"/>
      <c r="I120" s="17">
        <f>3192000/1.12/1000</f>
        <v>2849.9999999999995</v>
      </c>
      <c r="J120" s="18">
        <f>3192/1.12</f>
        <v>2849.9999999999995</v>
      </c>
      <c r="K120" s="18">
        <f t="shared" si="6"/>
        <v>0</v>
      </c>
      <c r="L120" s="15"/>
      <c r="M120" s="19">
        <f t="shared" si="7"/>
        <v>2849.9999999999995</v>
      </c>
      <c r="N120" s="18" t="s">
        <v>77</v>
      </c>
      <c r="O120" s="14" t="s">
        <v>77</v>
      </c>
      <c r="P120" s="15" t="s">
        <v>77</v>
      </c>
      <c r="Q120" s="20"/>
      <c r="R120" s="14"/>
      <c r="S120" s="14" t="s">
        <v>77</v>
      </c>
      <c r="T120" s="14" t="s">
        <v>77</v>
      </c>
      <c r="U120" s="61"/>
      <c r="V120" s="61"/>
      <c r="W120" s="61"/>
      <c r="X120" s="64"/>
      <c r="Y120" s="16" t="s">
        <v>128</v>
      </c>
      <c r="Z120" s="16" t="s">
        <v>132</v>
      </c>
      <c r="AA120" s="46" t="s">
        <v>120</v>
      </c>
      <c r="AB120" s="47">
        <f>'[1]ИП 21_на 01.07.'!$BI$195/1.12</f>
        <v>2.8500000000000005</v>
      </c>
      <c r="AC120" s="47">
        <f t="shared" si="4"/>
        <v>2850.0000000000005</v>
      </c>
      <c r="AD120" s="46" t="b">
        <f t="shared" si="5"/>
        <v>1</v>
      </c>
      <c r="AE120" s="46"/>
      <c r="AF120" s="46"/>
      <c r="AG120" s="46"/>
    </row>
    <row r="121" spans="1:33" s="40" customFormat="1" ht="25.5" customHeight="1" x14ac:dyDescent="0.25">
      <c r="A121" s="13">
        <v>11</v>
      </c>
      <c r="B121" s="81"/>
      <c r="C121" s="14" t="s">
        <v>154</v>
      </c>
      <c r="D121" s="14" t="s">
        <v>42</v>
      </c>
      <c r="E121" s="14" t="s">
        <v>69</v>
      </c>
      <c r="F121" s="14"/>
      <c r="G121" s="15"/>
      <c r="H121" s="16"/>
      <c r="I121" s="17">
        <f>3472224/1.12/1000</f>
        <v>3100.1999999999994</v>
      </c>
      <c r="J121" s="18">
        <f>3472.224/1.12</f>
        <v>3100.2</v>
      </c>
      <c r="K121" s="18">
        <f t="shared" si="6"/>
        <v>0</v>
      </c>
      <c r="L121" s="15"/>
      <c r="M121" s="19">
        <f t="shared" si="7"/>
        <v>3100.1999999999994</v>
      </c>
      <c r="N121" s="18" t="s">
        <v>77</v>
      </c>
      <c r="O121" s="14" t="s">
        <v>77</v>
      </c>
      <c r="P121" s="15" t="s">
        <v>77</v>
      </c>
      <c r="Q121" s="20"/>
      <c r="R121" s="14"/>
      <c r="S121" s="14" t="s">
        <v>77</v>
      </c>
      <c r="T121" s="14" t="s">
        <v>77</v>
      </c>
      <c r="U121" s="61"/>
      <c r="V121" s="61"/>
      <c r="W121" s="61"/>
      <c r="X121" s="64"/>
      <c r="Y121" s="16" t="s">
        <v>128</v>
      </c>
      <c r="Z121" s="16" t="s">
        <v>132</v>
      </c>
      <c r="AA121" s="46" t="s">
        <v>121</v>
      </c>
      <c r="AB121" s="47">
        <f>'[1]ИП 21_на 01.07.'!$BI$198/1.12</f>
        <v>3.1002000000000001</v>
      </c>
      <c r="AC121" s="47">
        <f t="shared" si="4"/>
        <v>3100.2000000000003</v>
      </c>
      <c r="AD121" s="46" t="b">
        <f t="shared" si="5"/>
        <v>1</v>
      </c>
      <c r="AE121" s="46"/>
      <c r="AF121" s="46"/>
      <c r="AG121" s="46"/>
    </row>
    <row r="122" spans="1:33" s="40" customFormat="1" ht="27" customHeight="1" x14ac:dyDescent="0.25">
      <c r="A122" s="13">
        <v>12</v>
      </c>
      <c r="B122" s="81"/>
      <c r="C122" s="14" t="s">
        <v>155</v>
      </c>
      <c r="D122" s="14" t="s">
        <v>42</v>
      </c>
      <c r="E122" s="14">
        <v>1</v>
      </c>
      <c r="F122" s="14"/>
      <c r="G122" s="15"/>
      <c r="H122" s="16"/>
      <c r="I122" s="17">
        <f>8763000.32/1.12/1000</f>
        <v>7824.1074285714285</v>
      </c>
      <c r="J122" s="18">
        <f>8762999.84/1.12/1000</f>
        <v>7824.1069999999991</v>
      </c>
      <c r="K122" s="18">
        <f>I122-J122</f>
        <v>4.2857142943830695E-4</v>
      </c>
      <c r="L122" s="15"/>
      <c r="M122" s="19">
        <f t="shared" si="7"/>
        <v>7824.1074285714285</v>
      </c>
      <c r="N122" s="18" t="s">
        <v>77</v>
      </c>
      <c r="O122" s="14" t="s">
        <v>77</v>
      </c>
      <c r="P122" s="15" t="s">
        <v>77</v>
      </c>
      <c r="Q122" s="20"/>
      <c r="R122" s="14"/>
      <c r="S122" s="14" t="s">
        <v>77</v>
      </c>
      <c r="T122" s="14" t="s">
        <v>77</v>
      </c>
      <c r="U122" s="61"/>
      <c r="V122" s="61"/>
      <c r="W122" s="61"/>
      <c r="X122" s="64"/>
      <c r="Y122" s="16" t="s">
        <v>128</v>
      </c>
      <c r="Z122" s="16" t="s">
        <v>132</v>
      </c>
      <c r="AA122" s="46" t="s">
        <v>122</v>
      </c>
      <c r="AB122" s="47">
        <f>'[1]ИП 21_на 01.07.'!$BI$197/1.12</f>
        <v>9.7259999999999991</v>
      </c>
      <c r="AC122" s="47">
        <f t="shared" si="4"/>
        <v>9726</v>
      </c>
      <c r="AD122" s="46" t="b">
        <f t="shared" si="5"/>
        <v>0</v>
      </c>
      <c r="AE122" s="46"/>
      <c r="AF122" s="46"/>
      <c r="AG122" s="46"/>
    </row>
    <row r="123" spans="1:33" s="40" customFormat="1" ht="45" x14ac:dyDescent="0.25">
      <c r="A123" s="13">
        <v>13</v>
      </c>
      <c r="B123" s="81"/>
      <c r="C123" s="14" t="s">
        <v>156</v>
      </c>
      <c r="D123" s="14" t="s">
        <v>42</v>
      </c>
      <c r="E123" s="14">
        <v>1</v>
      </c>
      <c r="F123" s="14"/>
      <c r="G123" s="15"/>
      <c r="H123" s="16"/>
      <c r="I123" s="17">
        <f>23573999.68/1.12/1000</f>
        <v>21048.213999999996</v>
      </c>
      <c r="J123" s="18">
        <f>23573999.68/1.12/1000</f>
        <v>21048.213999999996</v>
      </c>
      <c r="K123" s="18">
        <f t="shared" si="6"/>
        <v>0</v>
      </c>
      <c r="L123" s="15"/>
      <c r="M123" s="19">
        <f t="shared" si="7"/>
        <v>21048.213999999996</v>
      </c>
      <c r="N123" s="18" t="s">
        <v>77</v>
      </c>
      <c r="O123" s="14" t="s">
        <v>77</v>
      </c>
      <c r="P123" s="15" t="s">
        <v>77</v>
      </c>
      <c r="Q123" s="20"/>
      <c r="R123" s="14"/>
      <c r="S123" s="14" t="s">
        <v>77</v>
      </c>
      <c r="T123" s="14" t="s">
        <v>77</v>
      </c>
      <c r="U123" s="61"/>
      <c r="V123" s="61"/>
      <c r="W123" s="61"/>
      <c r="X123" s="64"/>
      <c r="Y123" s="16" t="s">
        <v>128</v>
      </c>
      <c r="Z123" s="16" t="s">
        <v>132</v>
      </c>
      <c r="AA123" s="46" t="s">
        <v>122</v>
      </c>
      <c r="AB123" s="47">
        <f>'[1]ИП 21_на 01.07.'!$BI$196/1.12</f>
        <v>28.872321428571421</v>
      </c>
      <c r="AC123" s="47">
        <f t="shared" si="4"/>
        <v>28872.32142857142</v>
      </c>
      <c r="AD123" s="46" t="b">
        <f t="shared" si="5"/>
        <v>0</v>
      </c>
      <c r="AE123" s="53">
        <f>'[3]ИП 21_на 01.07.'!$BI$196/1.12*1000</f>
        <v>28872.32142857142</v>
      </c>
      <c r="AF123" s="53">
        <f>I122+I123</f>
        <v>28872.321428571424</v>
      </c>
      <c r="AG123" s="46" t="b">
        <f>AE123=AF123</f>
        <v>1</v>
      </c>
    </row>
    <row r="124" spans="1:33" s="40" customFormat="1" ht="23.25" customHeight="1" x14ac:dyDescent="0.25">
      <c r="A124" s="13">
        <v>14</v>
      </c>
      <c r="B124" s="81"/>
      <c r="C124" s="14" t="s">
        <v>157</v>
      </c>
      <c r="D124" s="14" t="s">
        <v>42</v>
      </c>
      <c r="E124" s="14">
        <v>1</v>
      </c>
      <c r="F124" s="14"/>
      <c r="G124" s="15"/>
      <c r="H124" s="16"/>
      <c r="I124" s="17">
        <f>10893120/1.12/1000</f>
        <v>9726</v>
      </c>
      <c r="J124" s="18">
        <f>10893.12/1.12</f>
        <v>9726</v>
      </c>
      <c r="K124" s="18">
        <f t="shared" si="6"/>
        <v>0</v>
      </c>
      <c r="L124" s="15"/>
      <c r="M124" s="19">
        <f t="shared" si="7"/>
        <v>9726</v>
      </c>
      <c r="N124" s="18" t="s">
        <v>77</v>
      </c>
      <c r="O124" s="14" t="s">
        <v>77</v>
      </c>
      <c r="P124" s="15" t="s">
        <v>77</v>
      </c>
      <c r="Q124" s="20"/>
      <c r="R124" s="14"/>
      <c r="S124" s="14" t="s">
        <v>77</v>
      </c>
      <c r="T124" s="14" t="s">
        <v>77</v>
      </c>
      <c r="U124" s="61"/>
      <c r="V124" s="61"/>
      <c r="W124" s="61"/>
      <c r="X124" s="64"/>
      <c r="Y124" s="16" t="s">
        <v>128</v>
      </c>
      <c r="Z124" s="16" t="s">
        <v>132</v>
      </c>
      <c r="AA124" s="46" t="s">
        <v>123</v>
      </c>
      <c r="AB124" s="47">
        <f>'[1]ИП 21_на 01.07.'!$BI$197/1.12</f>
        <v>9.7259999999999991</v>
      </c>
      <c r="AC124" s="47">
        <f t="shared" si="4"/>
        <v>9726</v>
      </c>
      <c r="AD124" s="46" t="b">
        <f t="shared" si="5"/>
        <v>1</v>
      </c>
      <c r="AE124" s="46"/>
      <c r="AF124" s="46"/>
      <c r="AG124" s="46"/>
    </row>
    <row r="125" spans="1:33" s="40" customFormat="1" ht="45.75" thickBot="1" x14ac:dyDescent="0.3">
      <c r="A125" s="13">
        <v>15</v>
      </c>
      <c r="B125" s="82"/>
      <c r="C125" s="23" t="s">
        <v>70</v>
      </c>
      <c r="D125" s="23" t="s">
        <v>71</v>
      </c>
      <c r="E125" s="23">
        <v>1</v>
      </c>
      <c r="F125" s="23"/>
      <c r="G125" s="24"/>
      <c r="H125" s="25"/>
      <c r="I125" s="26">
        <f>(67387729.763152+1654625+1891596)/1.12/1000</f>
        <v>63333.884609957138</v>
      </c>
      <c r="J125" s="27"/>
      <c r="K125" s="27">
        <f>I125-J125</f>
        <v>63333.884609957138</v>
      </c>
      <c r="L125" s="24" t="s">
        <v>130</v>
      </c>
      <c r="M125" s="50"/>
      <c r="N125" s="27">
        <f>I125</f>
        <v>63333.884609957138</v>
      </c>
      <c r="O125" s="23" t="s">
        <v>77</v>
      </c>
      <c r="P125" s="24" t="s">
        <v>77</v>
      </c>
      <c r="Q125" s="29"/>
      <c r="R125" s="23"/>
      <c r="S125" s="23" t="s">
        <v>77</v>
      </c>
      <c r="T125" s="23" t="s">
        <v>77</v>
      </c>
      <c r="U125" s="62"/>
      <c r="V125" s="62"/>
      <c r="W125" s="62"/>
      <c r="X125" s="65"/>
      <c r="Y125" s="25" t="s">
        <v>130</v>
      </c>
      <c r="Z125" s="25" t="s">
        <v>132</v>
      </c>
      <c r="AA125" s="52" t="s">
        <v>124</v>
      </c>
      <c r="AB125" s="47">
        <f>('[1]ИП 21_на 01.07.'!$BI$180+'[3]ИП 21_на 01.07.'!$BI$181+'[3]ИП 21_на 01.07.'!$BI$182)/1.12</f>
        <v>63.333884609957146</v>
      </c>
      <c r="AC125" s="47">
        <f t="shared" si="4"/>
        <v>63333.884609957146</v>
      </c>
      <c r="AD125" s="46" t="b">
        <f t="shared" si="5"/>
        <v>1</v>
      </c>
      <c r="AE125" s="46"/>
      <c r="AF125" s="46"/>
      <c r="AG125" s="46"/>
    </row>
    <row r="126" spans="1:33" s="40" customFormat="1" x14ac:dyDescent="0.25">
      <c r="AB126" s="43"/>
      <c r="AC126" s="43"/>
    </row>
    <row r="127" spans="1:33" s="40" customFormat="1" x14ac:dyDescent="0.25">
      <c r="AB127" s="43"/>
      <c r="AC127" s="43"/>
    </row>
    <row r="128" spans="1:33" s="40" customFormat="1" x14ac:dyDescent="0.25">
      <c r="AB128" s="43"/>
      <c r="AC128" s="43"/>
    </row>
    <row r="129" spans="28:29" s="40" customFormat="1" x14ac:dyDescent="0.25">
      <c r="AB129" s="43"/>
      <c r="AC129" s="43"/>
    </row>
    <row r="130" spans="28:29" s="40" customFormat="1" x14ac:dyDescent="0.25">
      <c r="AB130" s="43"/>
      <c r="AC130" s="43"/>
    </row>
    <row r="131" spans="28:29" s="40" customFormat="1" x14ac:dyDescent="0.25">
      <c r="AB131" s="43"/>
      <c r="AC131" s="43"/>
    </row>
    <row r="132" spans="28:29" s="40" customFormat="1" x14ac:dyDescent="0.25">
      <c r="AB132" s="43"/>
      <c r="AC132" s="43"/>
    </row>
    <row r="133" spans="28:29" s="40" customFormat="1" x14ac:dyDescent="0.25">
      <c r="AB133" s="43"/>
      <c r="AC133" s="43"/>
    </row>
    <row r="134" spans="28:29" s="40" customFormat="1" x14ac:dyDescent="0.25">
      <c r="AB134" s="43"/>
      <c r="AC134" s="43"/>
    </row>
    <row r="135" spans="28:29" s="40" customFormat="1" x14ac:dyDescent="0.25">
      <c r="AB135" s="43"/>
      <c r="AC135" s="43"/>
    </row>
    <row r="136" spans="28:29" s="40" customFormat="1" x14ac:dyDescent="0.25">
      <c r="AB136" s="43"/>
      <c r="AC136" s="43"/>
    </row>
    <row r="137" spans="28:29" s="40" customFormat="1" x14ac:dyDescent="0.25">
      <c r="AB137" s="43"/>
      <c r="AC137" s="43"/>
    </row>
    <row r="138" spans="28:29" s="40" customFormat="1" x14ac:dyDescent="0.25">
      <c r="AB138" s="43"/>
      <c r="AC138" s="43"/>
    </row>
    <row r="139" spans="28:29" s="40" customFormat="1" x14ac:dyDescent="0.25">
      <c r="AB139" s="43"/>
      <c r="AC139" s="43"/>
    </row>
    <row r="140" spans="28:29" s="40" customFormat="1" x14ac:dyDescent="0.25">
      <c r="AB140" s="43"/>
      <c r="AC140" s="43"/>
    </row>
    <row r="141" spans="28:29" s="40" customFormat="1" x14ac:dyDescent="0.25">
      <c r="AB141" s="43"/>
      <c r="AC141" s="43"/>
    </row>
    <row r="142" spans="28:29" s="40" customFormat="1" x14ac:dyDescent="0.25">
      <c r="AB142" s="43"/>
      <c r="AC142" s="43"/>
    </row>
    <row r="143" spans="28:29" s="40" customFormat="1" x14ac:dyDescent="0.25">
      <c r="AB143" s="43"/>
      <c r="AC143" s="43"/>
    </row>
    <row r="144" spans="28:29" s="40" customFormat="1" x14ac:dyDescent="0.25">
      <c r="AB144" s="43"/>
      <c r="AC144" s="43"/>
    </row>
    <row r="145" spans="28:29" s="40" customFormat="1" x14ac:dyDescent="0.25">
      <c r="AB145" s="43"/>
      <c r="AC145" s="43"/>
    </row>
    <row r="146" spans="28:29" s="40" customFormat="1" x14ac:dyDescent="0.25">
      <c r="AB146" s="43"/>
      <c r="AC146" s="43"/>
    </row>
    <row r="147" spans="28:29" s="40" customFormat="1" x14ac:dyDescent="0.25">
      <c r="AB147" s="43"/>
      <c r="AC147" s="43"/>
    </row>
    <row r="148" spans="28:29" s="40" customFormat="1" x14ac:dyDescent="0.25">
      <c r="AB148" s="43"/>
      <c r="AC148" s="43"/>
    </row>
    <row r="149" spans="28:29" s="40" customFormat="1" x14ac:dyDescent="0.25">
      <c r="AB149" s="43"/>
      <c r="AC149" s="43"/>
    </row>
    <row r="150" spans="28:29" s="40" customFormat="1" x14ac:dyDescent="0.25">
      <c r="AB150" s="43"/>
      <c r="AC150" s="43"/>
    </row>
    <row r="151" spans="28:29" s="40" customFormat="1" x14ac:dyDescent="0.25">
      <c r="AB151" s="43"/>
      <c r="AC151" s="43"/>
    </row>
    <row r="152" spans="28:29" s="40" customFormat="1" x14ac:dyDescent="0.25">
      <c r="AB152" s="43"/>
      <c r="AC152" s="43"/>
    </row>
    <row r="153" spans="28:29" s="40" customFormat="1" x14ac:dyDescent="0.25">
      <c r="AB153" s="43"/>
      <c r="AC153" s="43"/>
    </row>
    <row r="154" spans="28:29" s="40" customFormat="1" x14ac:dyDescent="0.25">
      <c r="AB154" s="43"/>
      <c r="AC154" s="43"/>
    </row>
    <row r="155" spans="28:29" s="40" customFormat="1" x14ac:dyDescent="0.25">
      <c r="AB155" s="43"/>
      <c r="AC155" s="43"/>
    </row>
    <row r="156" spans="28:29" s="40" customFormat="1" x14ac:dyDescent="0.25">
      <c r="AB156" s="43"/>
      <c r="AC156" s="43"/>
    </row>
    <row r="157" spans="28:29" s="40" customFormat="1" x14ac:dyDescent="0.25">
      <c r="AB157" s="43"/>
      <c r="AC157" s="43"/>
    </row>
    <row r="158" spans="28:29" s="40" customFormat="1" x14ac:dyDescent="0.25">
      <c r="AB158" s="43"/>
      <c r="AC158" s="43"/>
    </row>
    <row r="159" spans="28:29" s="40" customFormat="1" x14ac:dyDescent="0.25">
      <c r="AB159" s="43"/>
      <c r="AC159" s="43"/>
    </row>
    <row r="160" spans="28:29" s="40" customFormat="1" x14ac:dyDescent="0.25">
      <c r="AB160" s="43"/>
      <c r="AC160" s="43"/>
    </row>
    <row r="161" spans="28:29" s="40" customFormat="1" x14ac:dyDescent="0.25">
      <c r="AB161" s="43"/>
      <c r="AC161" s="43"/>
    </row>
    <row r="162" spans="28:29" s="40" customFormat="1" x14ac:dyDescent="0.25">
      <c r="AB162" s="43"/>
      <c r="AC162" s="43"/>
    </row>
    <row r="163" spans="28:29" s="40" customFormat="1" x14ac:dyDescent="0.25">
      <c r="AB163" s="43"/>
      <c r="AC163" s="43"/>
    </row>
    <row r="164" spans="28:29" s="40" customFormat="1" x14ac:dyDescent="0.25">
      <c r="AB164" s="43"/>
      <c r="AC164" s="43"/>
    </row>
    <row r="165" spans="28:29" s="40" customFormat="1" x14ac:dyDescent="0.25">
      <c r="AB165" s="43"/>
      <c r="AC165" s="43"/>
    </row>
    <row r="166" spans="28:29" s="40" customFormat="1" x14ac:dyDescent="0.25">
      <c r="AB166" s="43"/>
      <c r="AC166" s="43"/>
    </row>
    <row r="167" spans="28:29" s="40" customFormat="1" x14ac:dyDescent="0.25">
      <c r="AB167" s="43"/>
      <c r="AC167" s="43"/>
    </row>
    <row r="168" spans="28:29" s="40" customFormat="1" x14ac:dyDescent="0.25">
      <c r="AB168" s="43"/>
      <c r="AC168" s="43"/>
    </row>
    <row r="169" spans="28:29" s="40" customFormat="1" x14ac:dyDescent="0.25">
      <c r="AB169" s="43"/>
      <c r="AC169" s="43"/>
    </row>
    <row r="170" spans="28:29" s="40" customFormat="1" x14ac:dyDescent="0.25">
      <c r="AB170" s="43"/>
      <c r="AC170" s="43"/>
    </row>
    <row r="171" spans="28:29" s="40" customFormat="1" x14ac:dyDescent="0.25">
      <c r="AB171" s="43"/>
      <c r="AC171" s="43"/>
    </row>
    <row r="172" spans="28:29" s="40" customFormat="1" x14ac:dyDescent="0.25">
      <c r="AB172" s="43"/>
      <c r="AC172" s="43"/>
    </row>
    <row r="173" spans="28:29" s="40" customFormat="1" x14ac:dyDescent="0.25">
      <c r="AB173" s="43"/>
      <c r="AC173" s="43"/>
    </row>
    <row r="174" spans="28:29" s="40" customFormat="1" x14ac:dyDescent="0.25">
      <c r="AB174" s="43"/>
      <c r="AC174" s="43"/>
    </row>
    <row r="175" spans="28:29" s="40" customFormat="1" x14ac:dyDescent="0.25">
      <c r="AB175" s="43"/>
      <c r="AC175" s="43"/>
    </row>
    <row r="176" spans="28:29" s="40" customFormat="1" x14ac:dyDescent="0.25">
      <c r="AB176" s="43"/>
      <c r="AC176" s="43"/>
    </row>
    <row r="177" spans="28:29" s="40" customFormat="1" x14ac:dyDescent="0.25">
      <c r="AB177" s="43"/>
      <c r="AC177" s="43"/>
    </row>
    <row r="178" spans="28:29" s="40" customFormat="1" x14ac:dyDescent="0.25">
      <c r="AB178" s="43"/>
      <c r="AC178" s="43"/>
    </row>
    <row r="179" spans="28:29" s="40" customFormat="1" x14ac:dyDescent="0.25">
      <c r="AB179" s="43"/>
      <c r="AC179" s="43"/>
    </row>
    <row r="180" spans="28:29" s="40" customFormat="1" x14ac:dyDescent="0.25">
      <c r="AB180" s="43"/>
      <c r="AC180" s="43"/>
    </row>
    <row r="181" spans="28:29" s="40" customFormat="1" x14ac:dyDescent="0.25">
      <c r="AB181" s="43"/>
      <c r="AC181" s="43"/>
    </row>
    <row r="182" spans="28:29" s="40" customFormat="1" x14ac:dyDescent="0.25">
      <c r="AB182" s="43"/>
      <c r="AC182" s="43"/>
    </row>
  </sheetData>
  <mergeCells count="210">
    <mergeCell ref="K14:K16"/>
    <mergeCell ref="L14:L16"/>
    <mergeCell ref="W14:X15"/>
    <mergeCell ref="E15:E16"/>
    <mergeCell ref="F15:F16"/>
    <mergeCell ref="M14:N15"/>
    <mergeCell ref="O14:O16"/>
    <mergeCell ref="P14:P16"/>
    <mergeCell ref="Q14:R15"/>
    <mergeCell ref="S14:T15"/>
    <mergeCell ref="U14:V15"/>
    <mergeCell ref="A9:Z9"/>
    <mergeCell ref="A10:Z10"/>
    <mergeCell ref="A11:Z11"/>
    <mergeCell ref="A13:A16"/>
    <mergeCell ref="B13:G13"/>
    <mergeCell ref="H13:H16"/>
    <mergeCell ref="I13:L13"/>
    <mergeCell ref="M13:P13"/>
    <mergeCell ref="Q13:X13"/>
    <mergeCell ref="Y13:Y16"/>
    <mergeCell ref="Z13:Z16"/>
    <mergeCell ref="B14:B16"/>
    <mergeCell ref="C14:C16"/>
    <mergeCell ref="D14:D16"/>
    <mergeCell ref="E14:F14"/>
    <mergeCell ref="G14:G16"/>
    <mergeCell ref="I14:I16"/>
    <mergeCell ref="J14:J16"/>
    <mergeCell ref="K43:K45"/>
    <mergeCell ref="L43:L45"/>
    <mergeCell ref="W43:X44"/>
    <mergeCell ref="E44:E45"/>
    <mergeCell ref="F44:F45"/>
    <mergeCell ref="B18:B35"/>
    <mergeCell ref="U19:U35"/>
    <mergeCell ref="V19:V35"/>
    <mergeCell ref="W19:W35"/>
    <mergeCell ref="X19:X35"/>
    <mergeCell ref="M43:N44"/>
    <mergeCell ref="O43:O45"/>
    <mergeCell ref="P43:P45"/>
    <mergeCell ref="Q43:R44"/>
    <mergeCell ref="S43:T44"/>
    <mergeCell ref="U43:V44"/>
    <mergeCell ref="A38:Z38"/>
    <mergeCell ref="A39:Z39"/>
    <mergeCell ref="A40:Z40"/>
    <mergeCell ref="A42:A45"/>
    <mergeCell ref="B42:G42"/>
    <mergeCell ref="H42:H45"/>
    <mergeCell ref="I42:L42"/>
    <mergeCell ref="M42:P42"/>
    <mergeCell ref="Q42:X42"/>
    <mergeCell ref="Y42:Y45"/>
    <mergeCell ref="Z42:Z45"/>
    <mergeCell ref="B43:B45"/>
    <mergeCell ref="C43:C45"/>
    <mergeCell ref="D43:D45"/>
    <mergeCell ref="E43:F43"/>
    <mergeCell ref="G43:G45"/>
    <mergeCell ref="I43:I45"/>
    <mergeCell ref="J43:J45"/>
    <mergeCell ref="K58:K60"/>
    <mergeCell ref="L58:L60"/>
    <mergeCell ref="W58:X59"/>
    <mergeCell ref="E59:E60"/>
    <mergeCell ref="F59:F60"/>
    <mergeCell ref="B47:B50"/>
    <mergeCell ref="U48:U50"/>
    <mergeCell ref="V48:V50"/>
    <mergeCell ref="W48:W50"/>
    <mergeCell ref="X48:X50"/>
    <mergeCell ref="M58:N59"/>
    <mergeCell ref="O58:O60"/>
    <mergeCell ref="P58:P60"/>
    <mergeCell ref="Q58:R59"/>
    <mergeCell ref="S58:T59"/>
    <mergeCell ref="U58:V59"/>
    <mergeCell ref="A53:Z53"/>
    <mergeCell ref="A54:Z54"/>
    <mergeCell ref="A55:Z55"/>
    <mergeCell ref="A57:A60"/>
    <mergeCell ref="B57:G57"/>
    <mergeCell ref="H57:H60"/>
    <mergeCell ref="I57:L57"/>
    <mergeCell ref="M57:P57"/>
    <mergeCell ref="Q57:X57"/>
    <mergeCell ref="Y57:Y60"/>
    <mergeCell ref="Z57:Z60"/>
    <mergeCell ref="B58:B60"/>
    <mergeCell ref="C58:C60"/>
    <mergeCell ref="D58:D60"/>
    <mergeCell ref="E58:F58"/>
    <mergeCell ref="G58:G60"/>
    <mergeCell ref="I58:I60"/>
    <mergeCell ref="J58:J60"/>
    <mergeCell ref="K74:K76"/>
    <mergeCell ref="L74:L76"/>
    <mergeCell ref="W74:X75"/>
    <mergeCell ref="E75:E76"/>
    <mergeCell ref="F75:F76"/>
    <mergeCell ref="B62:B65"/>
    <mergeCell ref="U62:U65"/>
    <mergeCell ref="V62:V65"/>
    <mergeCell ref="W62:W65"/>
    <mergeCell ref="X62:X65"/>
    <mergeCell ref="M74:N75"/>
    <mergeCell ref="O74:O76"/>
    <mergeCell ref="P74:P76"/>
    <mergeCell ref="Q74:R75"/>
    <mergeCell ref="S74:T75"/>
    <mergeCell ref="U74:V75"/>
    <mergeCell ref="A69:Z69"/>
    <mergeCell ref="A70:Z70"/>
    <mergeCell ref="A71:Z71"/>
    <mergeCell ref="A73:A76"/>
    <mergeCell ref="B73:G73"/>
    <mergeCell ref="H73:H76"/>
    <mergeCell ref="I73:L73"/>
    <mergeCell ref="M73:P73"/>
    <mergeCell ref="Q73:X73"/>
    <mergeCell ref="Y73:Y76"/>
    <mergeCell ref="Z73:Z76"/>
    <mergeCell ref="B74:B76"/>
    <mergeCell ref="C74:C76"/>
    <mergeCell ref="D74:D76"/>
    <mergeCell ref="E74:F74"/>
    <mergeCell ref="G74:G76"/>
    <mergeCell ref="I74:I76"/>
    <mergeCell ref="J74:J76"/>
    <mergeCell ref="Z88:Z91"/>
    <mergeCell ref="B89:B91"/>
    <mergeCell ref="C89:C91"/>
    <mergeCell ref="D89:D91"/>
    <mergeCell ref="E89:F89"/>
    <mergeCell ref="G89:G91"/>
    <mergeCell ref="I89:I91"/>
    <mergeCell ref="J89:J91"/>
    <mergeCell ref="B78:B81"/>
    <mergeCell ref="U79:U81"/>
    <mergeCell ref="V79:V81"/>
    <mergeCell ref="W79:W81"/>
    <mergeCell ref="X79:X81"/>
    <mergeCell ref="I88:L88"/>
    <mergeCell ref="M88:P88"/>
    <mergeCell ref="Q88:X88"/>
    <mergeCell ref="Y88:Y91"/>
    <mergeCell ref="M89:N90"/>
    <mergeCell ref="O89:O91"/>
    <mergeCell ref="P89:P91"/>
    <mergeCell ref="Q89:R90"/>
    <mergeCell ref="S89:T90"/>
    <mergeCell ref="U89:V90"/>
    <mergeCell ref="B110:B125"/>
    <mergeCell ref="U111:U125"/>
    <mergeCell ref="V111:V125"/>
    <mergeCell ref="W111:W125"/>
    <mergeCell ref="X111:X125"/>
    <mergeCell ref="M106:N107"/>
    <mergeCell ref="O106:O108"/>
    <mergeCell ref="P106:P108"/>
    <mergeCell ref="Q106:R107"/>
    <mergeCell ref="S106:T107"/>
    <mergeCell ref="U106:V107"/>
    <mergeCell ref="B106:B108"/>
    <mergeCell ref="C106:C108"/>
    <mergeCell ref="D106:D108"/>
    <mergeCell ref="E106:F106"/>
    <mergeCell ref="G106:G108"/>
    <mergeCell ref="I106:I108"/>
    <mergeCell ref="J106:J108"/>
    <mergeCell ref="K106:K108"/>
    <mergeCell ref="L106:L108"/>
    <mergeCell ref="H105:H108"/>
    <mergeCell ref="I105:L105"/>
    <mergeCell ref="W106:X107"/>
    <mergeCell ref="E107:E108"/>
    <mergeCell ref="F107:F108"/>
    <mergeCell ref="Z105:Z108"/>
    <mergeCell ref="A101:Z101"/>
    <mergeCell ref="A102:Z102"/>
    <mergeCell ref="A103:Z103"/>
    <mergeCell ref="A105:A108"/>
    <mergeCell ref="B105:G105"/>
    <mergeCell ref="Y105:Y108"/>
    <mergeCell ref="W94:W98"/>
    <mergeCell ref="X94:X98"/>
    <mergeCell ref="M105:P105"/>
    <mergeCell ref="Q105:X105"/>
    <mergeCell ref="A100:Z100"/>
    <mergeCell ref="A8:Z8"/>
    <mergeCell ref="A37:Z37"/>
    <mergeCell ref="A52:Z52"/>
    <mergeCell ref="A68:Z68"/>
    <mergeCell ref="A83:Z83"/>
    <mergeCell ref="W89:X90"/>
    <mergeCell ref="E90:E91"/>
    <mergeCell ref="F90:F91"/>
    <mergeCell ref="B93:B98"/>
    <mergeCell ref="U94:U98"/>
    <mergeCell ref="V94:V98"/>
    <mergeCell ref="K89:K91"/>
    <mergeCell ref="L89:L91"/>
    <mergeCell ref="A84:Z84"/>
    <mergeCell ref="A85:Z85"/>
    <mergeCell ref="A86:Z86"/>
    <mergeCell ref="A88:A91"/>
    <mergeCell ref="B88:G88"/>
    <mergeCell ref="H88:H91"/>
  </mergeCells>
  <pageMargins left="0.11811023622047245" right="0.11811023622047245" top="0.74803149606299213" bottom="0.15748031496062992" header="0.31496062992125984" footer="0.31496062992125984"/>
  <pageSetup paperSize="9" scale="41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2021-07-23T04:05:50Z</dcterms:modified>
</cp:coreProperties>
</file>