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684"/>
  </bookViews>
  <sheets>
    <sheet name="Электроэнергия" sheetId="1" r:id="rId1"/>
    <sheet name="Теплоэнергия" sheetId="2" r:id="rId2"/>
    <sheet name="Хоз. пит. вода" sheetId="3" r:id="rId3"/>
    <sheet name="Пром. вода" sheetId="4" r:id="rId4"/>
    <sheet name="Хоз. фек. канал." sheetId="5" r:id="rId5"/>
    <sheet name="Пром. канал." sheetId="6" r:id="rId6"/>
  </sheets>
  <externalReferences>
    <externalReference r:id="rId7"/>
    <externalReference r:id="rId8"/>
    <externalReference r:id="rId9"/>
  </externalReferences>
  <definedNames>
    <definedName name="_Toc70416010" localSheetId="3">'Пром. вода'!$Z$1</definedName>
    <definedName name="_Toc70416010" localSheetId="5">'Пром. канал.'!$Z$1</definedName>
    <definedName name="_Toc70416010" localSheetId="1">Теплоэнергия!$Z$1</definedName>
    <definedName name="_Toc70416010" localSheetId="2">'Хоз. пит. вода'!$Z$1</definedName>
    <definedName name="_Toc70416010" localSheetId="4">'Хоз. фек. канал.'!$Z$1</definedName>
    <definedName name="_Toc70416010" localSheetId="0">Электроэнергия!$Z$1</definedName>
    <definedName name="_Toc70416011" localSheetId="3">'Пром. вода'!$AA$6</definedName>
    <definedName name="_Toc70416011" localSheetId="5">'Пром. канал.'!$AA$6</definedName>
    <definedName name="_Toc70416011" localSheetId="1">Теплоэнергия!$AA$6</definedName>
    <definedName name="_Toc70416011" localSheetId="2">'Хоз. пит. вода'!$AA$6</definedName>
    <definedName name="_Toc70416011" localSheetId="4">'Хоз. фек. канал.'!$AA$6</definedName>
    <definedName name="_Toc70416011" localSheetId="0">Электроэнергия!$AA$6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6" l="1"/>
  <c r="AE34" i="6" s="1"/>
  <c r="AC34" i="6"/>
  <c r="O34" i="6"/>
  <c r="L34" i="6"/>
  <c r="J34" i="6"/>
  <c r="AD33" i="6"/>
  <c r="AE33" i="6" s="1"/>
  <c r="AC33" i="6"/>
  <c r="N33" i="6"/>
  <c r="L33" i="6"/>
  <c r="K33" i="6"/>
  <c r="J33" i="6"/>
  <c r="AG32" i="6"/>
  <c r="AF32" i="6"/>
  <c r="AH32" i="6" s="1"/>
  <c r="AD32" i="6"/>
  <c r="AE32" i="6" s="1"/>
  <c r="AC32" i="6"/>
  <c r="N32" i="6"/>
  <c r="L32" i="6"/>
  <c r="K32" i="6"/>
  <c r="J32" i="6"/>
  <c r="AC31" i="6"/>
  <c r="AD31" i="6" s="1"/>
  <c r="AE31" i="6" s="1"/>
  <c r="N31" i="6"/>
  <c r="L31" i="6"/>
  <c r="K31" i="6"/>
  <c r="J31" i="6"/>
  <c r="AD30" i="6"/>
  <c r="AE30" i="6" s="1"/>
  <c r="AC30" i="6"/>
  <c r="N30" i="6"/>
  <c r="L30" i="6"/>
  <c r="K30" i="6"/>
  <c r="J30" i="6"/>
  <c r="AC29" i="6"/>
  <c r="AD29" i="6" s="1"/>
  <c r="AE29" i="6" s="1"/>
  <c r="N29" i="6"/>
  <c r="L29" i="6"/>
  <c r="K29" i="6"/>
  <c r="J29" i="6"/>
  <c r="AD28" i="6"/>
  <c r="AE28" i="6" s="1"/>
  <c r="AC28" i="6"/>
  <c r="N28" i="6"/>
  <c r="L28" i="6"/>
  <c r="K28" i="6"/>
  <c r="J28" i="6"/>
  <c r="AC27" i="6"/>
  <c r="AD27" i="6" s="1"/>
  <c r="AE27" i="6" s="1"/>
  <c r="O27" i="6"/>
  <c r="L27" i="6"/>
  <c r="K27" i="6"/>
  <c r="J27" i="6"/>
  <c r="AD26" i="6"/>
  <c r="AE26" i="6" s="1"/>
  <c r="AC26" i="6"/>
  <c r="O26" i="6"/>
  <c r="L26" i="6"/>
  <c r="K26" i="6"/>
  <c r="J26" i="6"/>
  <c r="AC25" i="6"/>
  <c r="AD25" i="6" s="1"/>
  <c r="AE25" i="6" s="1"/>
  <c r="N25" i="6"/>
  <c r="L25" i="6"/>
  <c r="K25" i="6"/>
  <c r="J25" i="6"/>
  <c r="AD24" i="6"/>
  <c r="AE24" i="6" s="1"/>
  <c r="AC24" i="6"/>
  <c r="N24" i="6"/>
  <c r="L24" i="6"/>
  <c r="K24" i="6"/>
  <c r="J24" i="6"/>
  <c r="AC23" i="6"/>
  <c r="AD23" i="6" s="1"/>
  <c r="AE23" i="6" s="1"/>
  <c r="N23" i="6"/>
  <c r="L23" i="6"/>
  <c r="K23" i="6"/>
  <c r="J23" i="6"/>
  <c r="AD22" i="6"/>
  <c r="AE22" i="6" s="1"/>
  <c r="AC22" i="6"/>
  <c r="N22" i="6"/>
  <c r="L22" i="6"/>
  <c r="K22" i="6"/>
  <c r="J22" i="6"/>
  <c r="AE21" i="6"/>
  <c r="AD21" i="6"/>
  <c r="N21" i="6"/>
  <c r="L21" i="6"/>
  <c r="K21" i="6"/>
  <c r="J21" i="6"/>
  <c r="AC20" i="6"/>
  <c r="AD20" i="6" s="1"/>
  <c r="AE20" i="6" s="1"/>
  <c r="O20" i="6"/>
  <c r="L20" i="6"/>
  <c r="K20" i="6"/>
  <c r="J20" i="6"/>
  <c r="O19" i="6"/>
  <c r="N19" i="6"/>
  <c r="L19" i="6"/>
  <c r="K19" i="6"/>
  <c r="J19" i="6"/>
  <c r="K13" i="6"/>
  <c r="AE24" i="5"/>
  <c r="AD24" i="5"/>
  <c r="N24" i="5"/>
  <c r="L24" i="5"/>
  <c r="AE23" i="5"/>
  <c r="AD23" i="5"/>
  <c r="O23" i="5"/>
  <c r="L23" i="5"/>
  <c r="K23" i="5"/>
  <c r="AE22" i="5"/>
  <c r="AD22" i="5"/>
  <c r="O22" i="5"/>
  <c r="L22" i="5"/>
  <c r="J22" i="5"/>
  <c r="AE21" i="5"/>
  <c r="AD21" i="5"/>
  <c r="N21" i="5"/>
  <c r="L21" i="5"/>
  <c r="K21" i="5"/>
  <c r="J21" i="5"/>
  <c r="AE20" i="5"/>
  <c r="AD20" i="5"/>
  <c r="N20" i="5"/>
  <c r="L20" i="5"/>
  <c r="K20" i="5"/>
  <c r="J20" i="5"/>
  <c r="O19" i="5"/>
  <c r="N19" i="5"/>
  <c r="L19" i="5"/>
  <c r="K19" i="5"/>
  <c r="J19" i="5"/>
  <c r="L13" i="5"/>
  <c r="K13" i="5"/>
  <c r="AC22" i="4"/>
  <c r="AD22" i="4" s="1"/>
  <c r="AE22" i="4" s="1"/>
  <c r="O22" i="4"/>
  <c r="L22" i="4"/>
  <c r="J22" i="4"/>
  <c r="AC21" i="4"/>
  <c r="AD21" i="4" s="1"/>
  <c r="AE21" i="4" s="1"/>
  <c r="O21" i="4"/>
  <c r="L21" i="4"/>
  <c r="K21" i="4"/>
  <c r="AC20" i="4"/>
  <c r="AD20" i="4" s="1"/>
  <c r="AE20" i="4" s="1"/>
  <c r="O20" i="4"/>
  <c r="L20" i="4"/>
  <c r="K20" i="4"/>
  <c r="J20" i="4"/>
  <c r="O19" i="4"/>
  <c r="N19" i="4"/>
  <c r="L19" i="4"/>
  <c r="K19" i="4"/>
  <c r="J19" i="4"/>
  <c r="L13" i="4"/>
  <c r="K13" i="4"/>
  <c r="AE22" i="3"/>
  <c r="AD22" i="3"/>
  <c r="N22" i="3"/>
  <c r="L22" i="3"/>
  <c r="J22" i="3"/>
  <c r="AE21" i="3"/>
  <c r="AD21" i="3"/>
  <c r="N21" i="3"/>
  <c r="L21" i="3"/>
  <c r="K21" i="3"/>
  <c r="J21" i="3"/>
  <c r="AE20" i="3"/>
  <c r="AD20" i="3"/>
  <c r="AC20" i="3"/>
  <c r="N20" i="3"/>
  <c r="L20" i="3"/>
  <c r="K20" i="3"/>
  <c r="J20" i="3"/>
  <c r="O19" i="3"/>
  <c r="N19" i="3"/>
  <c r="L19" i="3"/>
  <c r="K19" i="3"/>
  <c r="J19" i="3"/>
  <c r="L13" i="3"/>
  <c r="K13" i="3"/>
  <c r="AE22" i="2"/>
  <c r="AD22" i="2"/>
  <c r="L22" i="2"/>
  <c r="J22" i="2"/>
  <c r="AE21" i="2"/>
  <c r="AD21" i="2"/>
  <c r="L21" i="2"/>
  <c r="K21" i="2"/>
  <c r="J21" i="2"/>
  <c r="AE20" i="2"/>
  <c r="AD20" i="2"/>
  <c r="O20" i="2"/>
  <c r="L20" i="2"/>
  <c r="K20" i="2"/>
  <c r="J20" i="2"/>
  <c r="O19" i="2"/>
  <c r="N19" i="2"/>
  <c r="L19" i="2"/>
  <c r="K19" i="2"/>
  <c r="J19" i="2"/>
  <c r="K13" i="2"/>
  <c r="AE36" i="1"/>
  <c r="AD36" i="1"/>
  <c r="N36" i="1"/>
  <c r="L36" i="1"/>
  <c r="J36" i="1"/>
  <c r="AE35" i="1"/>
  <c r="AD35" i="1"/>
  <c r="N35" i="1"/>
  <c r="L35" i="1"/>
  <c r="J35" i="1"/>
  <c r="AE34" i="1"/>
  <c r="AD34" i="1"/>
  <c r="AC34" i="1"/>
  <c r="N34" i="1"/>
  <c r="L34" i="1"/>
  <c r="J34" i="1"/>
  <c r="AE33" i="1"/>
  <c r="AD33" i="1"/>
  <c r="N33" i="1"/>
  <c r="L33" i="1"/>
  <c r="AE32" i="1"/>
  <c r="AD32" i="1"/>
  <c r="N32" i="1"/>
  <c r="L32" i="1"/>
  <c r="K32" i="1"/>
  <c r="J32" i="1"/>
  <c r="AE31" i="1"/>
  <c r="AD31" i="1"/>
  <c r="N31" i="1"/>
  <c r="L31" i="1"/>
  <c r="K31" i="1"/>
  <c r="J31" i="1"/>
  <c r="AE30" i="1"/>
  <c r="AD30" i="1"/>
  <c r="N30" i="1"/>
  <c r="L30" i="1"/>
  <c r="K30" i="1"/>
  <c r="J30" i="1"/>
  <c r="AE29" i="1"/>
  <c r="AD29" i="1"/>
  <c r="N29" i="1"/>
  <c r="L29" i="1"/>
  <c r="K29" i="1"/>
  <c r="J29" i="1"/>
  <c r="AE28" i="1"/>
  <c r="AD28" i="1"/>
  <c r="N28" i="1"/>
  <c r="L28" i="1"/>
  <c r="K28" i="1"/>
  <c r="J28" i="1"/>
  <c r="AE27" i="1"/>
  <c r="AD27" i="1"/>
  <c r="N27" i="1"/>
  <c r="L27" i="1"/>
  <c r="K27" i="1"/>
  <c r="J27" i="1"/>
  <c r="AE26" i="1"/>
  <c r="AD26" i="1"/>
  <c r="N26" i="1"/>
  <c r="L26" i="1"/>
  <c r="K26" i="1"/>
  <c r="J26" i="1"/>
  <c r="AE25" i="1"/>
  <c r="AD25" i="1"/>
  <c r="N25" i="1"/>
  <c r="L25" i="1"/>
  <c r="K25" i="1"/>
  <c r="J25" i="1"/>
  <c r="AE24" i="1"/>
  <c r="AD24" i="1"/>
  <c r="N24" i="1"/>
  <c r="L24" i="1"/>
  <c r="K24" i="1"/>
  <c r="J24" i="1"/>
  <c r="AE23" i="1"/>
  <c r="AD23" i="1"/>
  <c r="N23" i="1"/>
  <c r="L23" i="1"/>
  <c r="K23" i="1"/>
  <c r="J23" i="1"/>
  <c r="AE22" i="1"/>
  <c r="AD22" i="1"/>
  <c r="N22" i="1"/>
  <c r="L22" i="1"/>
  <c r="K22" i="1"/>
  <c r="J22" i="1"/>
  <c r="AE21" i="1"/>
  <c r="AD21" i="1"/>
  <c r="N21" i="1"/>
  <c r="L21" i="1"/>
  <c r="J21" i="1"/>
  <c r="AE20" i="1"/>
  <c r="AD20" i="1"/>
  <c r="N20" i="1"/>
  <c r="L20" i="1"/>
  <c r="J20" i="1"/>
  <c r="O19" i="1"/>
  <c r="N19" i="1"/>
  <c r="L19" i="1"/>
  <c r="K19" i="1"/>
  <c r="J19" i="1"/>
  <c r="K13" i="1"/>
</calcChain>
</file>

<file path=xl/sharedStrings.xml><?xml version="1.0" encoding="utf-8"?>
<sst xmlns="http://schemas.openxmlformats.org/spreadsheetml/2006/main" count="670" uniqueCount="165">
  <si>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</si>
  <si>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</si>
  <si>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</si>
  <si>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</si>
  <si>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</si>
  <si>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</si>
  <si>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</si>
  <si>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</si>
  <si>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</si>
  <si>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</si>
  <si>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</si>
  <si>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</si>
  <si>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</si>
  <si>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</si>
  <si>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</si>
  <si>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</si>
  <si>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</si>
  <si>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</si>
  <si>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</si>
  <si>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</si>
  <si>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</si>
  <si>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</si>
  <si>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</si>
  <si>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</si>
  <si>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</si>
  <si>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</si>
  <si>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Амортизация</t>
  </si>
  <si>
    <t>Прибыль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</si>
  <si>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</si>
  <si>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</si>
  <si>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</si>
  <si>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</si>
  <si>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</si>
  <si>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</si>
  <si>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</si>
  <si>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</si>
  <si>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</si>
  <si>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БРП "ЭнергоСети" ТОО "Kazakhmys Distribution (Казахмыс Дистрибьюшн)", услуги по передаче и распределению электрической энергии</t>
  </si>
  <si>
    <t>Всего по услуге</t>
  </si>
  <si>
    <t>Строительство кабельной эстакады с выносом кабелей из кабельного тоннеля и блока от ЦРП-2 до ЦРП-6 Часть 1</t>
  </si>
  <si>
    <t>услуга</t>
  </si>
  <si>
    <t>Ремонт преобразователя полупроводникового ЦЭСиП БРП "ЭнергоСети"</t>
  </si>
  <si>
    <t>шт</t>
  </si>
  <si>
    <t>Приобретение компьютерной техники</t>
  </si>
  <si>
    <t>шт.</t>
  </si>
  <si>
    <t>Замена полимерных изоляторов на стеклянные ВЛ-220 кВ</t>
  </si>
  <si>
    <t>Строительство кабельной эстакады ЦРП-2 - ЦРП-2А, 1 этап</t>
  </si>
  <si>
    <t>Строительство кабельной эстакады от РУ-10 кВ ЦРП-2 до РУ-10 кВ ЦРП-2А Часть 2</t>
  </si>
  <si>
    <t>Строительство кабельной эстакады от ЦРП-2 до ЦРП-6 Часть 2</t>
  </si>
  <si>
    <t>Силовой трансформатор ТРДН-63000/110/10 УХЛ1</t>
  </si>
  <si>
    <t>Замена трансформатора 16000 кВА 110/35/10 кВ ТДТН-16000/110-У1</t>
  </si>
  <si>
    <t>Разработка проекта «Строительство кабельной эстакады от БТЭЦ ГРУ до ЦРП-1 на территории МПЦ"</t>
  </si>
  <si>
    <t>Освидетельствование точек учета электрической энергии, проверка ТТ, ТН, приборов учета электрической энергии, измерение сопротивление изоляции ТТ, ТН, приборов и их цепей учета электроэнергии и технического обследования точек учета ЦЭСиП</t>
  </si>
  <si>
    <t>Разработка проекта "Строительство специализированной автомобильной базы для спецтехники и транспорта БРП "ЭнергоСети"</t>
  </si>
  <si>
    <t>Разработка проекта "Модернизация ПС Актогайский ГОК 220/110/10 и строительство ВЛ-220 кВ с ПС Актогайский ГОК 220/110/10 кВ на ПС 500-Актогай"</t>
  </si>
  <si>
    <t xml:space="preserve">об исполнении инвестиционной программы на 2021 год  по итогам  I полугодия 2021 года       </t>
  </si>
  <si>
    <t>Проведение комплексной режимной наладки внешних инженерных коммуникаций сетей теплоснабжения, водоснабжения и водоотведения ТОО «Kazakhmys Distribution» на Балхашской промышленной площадке</t>
  </si>
  <si>
    <t>Замена обратного трубопровода теплосети Ø630*10 на эстакаде от ЦРП-2 до сгустительного цеха до МОФ по территории БОФ</t>
  </si>
  <si>
    <t>ЗАДВИЖКА 30С41НЖ Ф300, РУ-16АТМ  С ОТВЕТНЫМИ ФЛАНЦАМИ И КРЕПЕЖОМ</t>
  </si>
  <si>
    <t>Замена трубопровода хозпитьевой  воды Ø377 мм в ЦТТ ТВС от управление Казахмыс Смелтинг до конца тоннеля на территории РМЗ</t>
  </si>
  <si>
    <t>Капитальный ремонт аварийных строительных конструкций эстакады технологических трубопроводов цеха ТВС. 2 этап</t>
  </si>
  <si>
    <t>Замена трубопровода промышленной воды Ø 630 мм в ЦТТ ТВС от  управления Казахмыс Смелтинг до конца тоннеля на территории РМЗ</t>
  </si>
  <si>
    <t>БРП "ЭнергоСети" ТОО "Kazakhmys Distribution (Казахмыс Дистрибьюшн)", услуги по отводу сточных вод (хоз. фекальная канализация)</t>
  </si>
  <si>
    <t>ЗАДВИЖКА 30НЖ41НЖ  ФЛАНЦЕВАЯ ДУ200ММ РУ16КГС/СМ2 С КОФ</t>
  </si>
  <si>
    <t>КОНДИЦИОНЕР  CПЛИТ-СИСТЕМА. S - 33-36М2, N - 1080/1000 ВТ</t>
  </si>
  <si>
    <t xml:space="preserve">Разработка проекта "Монтаж коллектора хоз. фекальной канализации от склада №1 до колодца гасителя"   </t>
  </si>
  <si>
    <t>Замена трубопровода хоз. бытовой канализации от забора СКЦ до наполнительной станции ППК</t>
  </si>
  <si>
    <t>БРП "ЭнергоСети" ТОО "Kazakhmys Distribution (Казахмыс Дистрибьюшн)", услуги по отводу сточных вод (промышленная канализация)</t>
  </si>
  <si>
    <t>Разработка проекта "Строительство резервной трассы промышленной канализации от МПЦ (район ЦРМП)  до склада БТЭЦ" (с установкой приборов учета)</t>
  </si>
  <si>
    <t>Модернизация приточно-вытяжной вентиляции с системой кондиционирования насосной станции ПЛК-2А</t>
  </si>
  <si>
    <t>РАСХОДОМЕР ЭЛЕКТРОМАГНИТНЫЙ DWM 2000 L</t>
  </si>
  <si>
    <t>КАНАЛОПРОМЫВОЧНАЯ МАШИНА  ДЛЯ ОЧИСТКИ ЗАСОРОВ МОЩНОСТЬ ДВИГАТЕЛЯ 152КВТ ПРОИЗВОДИТЕЛЬНОСТЬ 12,5М/Ч ВМЕСТИМОСТЬ ЦИСТЕРНЫ 5,75М3 ДЛИНА РУКАВА ВЫСОКОГО ДАВЛЕНИЯ 100М</t>
  </si>
  <si>
    <t>ВАКУУМНЫЙ АВТОМОБИЛЬ АССЕНИЗАТОР ВМЕСТИМОСТЬ ЦИСТЕРНЫ 4,3М.КУБ ОБЪЁМ ДВИГАТЕЛЯ 4430 КУБ.СМ КОЛЕСНАЯ БАЗА 4Х2</t>
  </si>
  <si>
    <t>МОТОПОМПА ПЕРЕДВИЖНАЯ НА КОЛЕСНОМ ШАССИ С ДИЗЕЛЬНЫМ ДВИГАТЕЛЕМ И САМОВСАСЫВАЮЩИМ НАСОСОМ  ПРОИЗВОДИТЕЛЬНОСТЬЮ  400 М3/Ч И НАПОРОМ 50 М</t>
  </si>
  <si>
    <t>1</t>
  </si>
  <si>
    <t>СТАНЦИЯ КАНАЛИЗАЦИОННАЯ НАСОСНАЯ  КНС-400/22С/3,0-6,3/4,7</t>
  </si>
  <si>
    <t>к-т</t>
  </si>
  <si>
    <t>ЭКСКАВАТОР-ПОГРУЗЧИК С ТЕЛЕСКОПИЧЕСКОЙ РУКОЯТЬЮ СО СМЕЩАЕМОЙ ОСЬЮ КОПАНИЯ ГРУЗОПОДЪЁМНОСТЬ-3.46ТН ОБЪЁМ ДВИГАТЕЛЯ 4,4Л</t>
  </si>
  <si>
    <t>ШКАФ МЕТАЛЛИЧЕСКИЙ ДЛЯ ОДЕЖДЫ 2МД-37.3 РАЗМЕР 1800Х750Х490 ММ ЦВЕТ СЕРЫЙ</t>
  </si>
  <si>
    <t>ЭЛЕКТРОПРИВОД Н-Г-06 У2</t>
  </si>
  <si>
    <t>3</t>
  </si>
  <si>
    <t>НАСОС ПОГРУЖНОЙ 48М3/Ч НАПОР 18М 2,2КВТ НАП ПАТРУБОК СВЕРХУ</t>
  </si>
  <si>
    <t>5</t>
  </si>
  <si>
    <t>ПОЛУПРИЦЕП БОРТОВОЙ Г/П28Т ПЛАТФОРМА 12,4М ОСИ 2ШТ 10.00R20</t>
  </si>
  <si>
    <t>СЕДЕЛЬНЫЙ ТЯГАЧ ДВИГАТЕЛЯ ДИЗЕЛЬНЫЙ С ТУРБОНАДДУВОМ МОДЕЛЬ КПП МЕХАНИЧЕСКАЯ, 9-ТИСТУПЕНЧАТАЯ</t>
  </si>
  <si>
    <t>АВТОПОГРУЗЧИК ВИЛОЧНЫЙ ДИЗЕЛЬНЫЙ Q2ТН V3469СМ.КУБ</t>
  </si>
  <si>
    <t>Реализация проекта: Установка модульного водоперехватывающего технологического комплекса на  Балхашской промышленной площадке</t>
  </si>
  <si>
    <t>усл</t>
  </si>
  <si>
    <t>Приобретение материалов для мероприятий по технике безопасности и охране труда</t>
  </si>
  <si>
    <t>Приобретение материалов для мероприятий по технике безопасности (уч.т/с)</t>
  </si>
  <si>
    <t>Приобретение материалов для мероприятий по технике безопасности хоз. пит. воды</t>
  </si>
  <si>
    <t>Приобретение материалов для мероприятий по технике безопасности и охране труда ( уч. пром. водоснабжение)</t>
  </si>
  <si>
    <t>Приобретение материалов для обслуживания трубопровода (хоз. фекальная канализация)</t>
  </si>
  <si>
    <t>-</t>
  </si>
  <si>
    <t>не имеются</t>
  </si>
  <si>
    <t>Автобус ДВИГАТЕЛЬ ЯМЗ 53423 ПОСАДОЧНЫХ МЕСТ 25+1 ОБЪЁМ 4,43Л</t>
  </si>
  <si>
    <t>КОМПЛЕКТНОЕ РАСПРЕДЕЛИТЕЛЬНОЕ УСТРОЙСТВО 6КВ/630-1000А 10ЯЧ.</t>
  </si>
  <si>
    <t>СИЛОВОЙ ТРАНСФОРМАТОР ТМ 2000/10/0,5 У1</t>
  </si>
  <si>
    <t>услуги по передаче и распределению электрической энергии, Балхашская промышленная площадка, месторождение СарыКум, рудник и поселок Саяк Карагандинской области, поселок Атогай Восточно-Казахстанчкая область.</t>
  </si>
  <si>
    <t>услуги по передачи и распределения тепловой энергии, Балхашская промышленная площадка.</t>
  </si>
  <si>
    <t>услуги по подаче воды по распределительным сетям (хоз. питьевое водоснабжение),Балхашская промышленная площадка.</t>
  </si>
  <si>
    <t>услуги по подаче воды по распределительным сетям (промышленное водоснабжение), Балхашская промышленная площадка.</t>
  </si>
  <si>
    <t>услуги по отводу сточных вод (хоз. фекальная канализация), Балхашская промышленная площадка.</t>
  </si>
  <si>
    <t>услуги по отводу сточных вод (промышленная канализация), Балхашская промышленная площадка.</t>
  </si>
  <si>
    <t xml:space="preserve">ИК </t>
  </si>
  <si>
    <t>41-991515-17</t>
  </si>
  <si>
    <t>41-991515-79</t>
  </si>
  <si>
    <t>41-991515-86</t>
  </si>
  <si>
    <t>41-991515-55</t>
  </si>
  <si>
    <t>41-991514-87</t>
  </si>
  <si>
    <t>41-991515-42</t>
  </si>
  <si>
    <t>41-991515-43</t>
  </si>
  <si>
    <t>41-991515-73</t>
  </si>
  <si>
    <t>41-991515-58</t>
  </si>
  <si>
    <t>41-991515-66</t>
  </si>
  <si>
    <t>41-991515-71</t>
  </si>
  <si>
    <t>41-991515-85</t>
  </si>
  <si>
    <t>41_991515_87</t>
  </si>
  <si>
    <t>41_991515_93</t>
  </si>
  <si>
    <t>41_991515_94</t>
  </si>
  <si>
    <t>41_991515_90</t>
  </si>
  <si>
    <t>41-991515-83</t>
  </si>
  <si>
    <t>41-991515-84</t>
  </si>
  <si>
    <t>41-991515-72</t>
  </si>
  <si>
    <t>41-991515-67</t>
  </si>
  <si>
    <t>41_991515_89</t>
  </si>
  <si>
    <t>41-991515-45</t>
  </si>
  <si>
    <t>41-991515-57</t>
  </si>
  <si>
    <t>41_991515_92</t>
  </si>
  <si>
    <t>41-991515-81</t>
  </si>
  <si>
    <t>41-991515-65</t>
  </si>
  <si>
    <t>41-991515-39</t>
  </si>
  <si>
    <t>41-991515-54</t>
  </si>
  <si>
    <t>41_991515_91</t>
  </si>
  <si>
    <t>41-991515-63</t>
  </si>
  <si>
    <t>41-991515-44</t>
  </si>
  <si>
    <t>41-991515-51</t>
  </si>
  <si>
    <t>41-991515-52</t>
  </si>
  <si>
    <t>41-991515-74</t>
  </si>
  <si>
    <t>41-991515-50</t>
  </si>
  <si>
    <t>41-991515-61</t>
  </si>
  <si>
    <t>41-991515-64</t>
  </si>
  <si>
    <t>41-991515-56</t>
  </si>
  <si>
    <t>41-991515-62</t>
  </si>
  <si>
    <t>41-991515-75</t>
  </si>
  <si>
    <t>41-991515-76</t>
  </si>
  <si>
    <t>41-991514-63</t>
  </si>
  <si>
    <t>41-991515-53</t>
  </si>
  <si>
    <t>Ведутся работы подрядной организацией</t>
  </si>
  <si>
    <t>Отклонение возникло при проведении процедур по закупке работ и услуг. ТМЦ поставлено.</t>
  </si>
  <si>
    <t>ТМЦ поставлено</t>
  </si>
  <si>
    <t>Ведется поставка ТМЦ</t>
  </si>
  <si>
    <t>Ведутся процедуры по закупке товаров, работ и услуг</t>
  </si>
  <si>
    <t>Выполнено</t>
  </si>
  <si>
    <t>Повышение качества и надежности предоставляемых услуг будет оцениваться после реализации мероприятия</t>
  </si>
  <si>
    <t>Повышение качества и надежности предоставляемых услуг будет оцениваться после завершения строительства эстакады</t>
  </si>
  <si>
    <t>Повышение качества и надежности предоставляемых услуг будет оцениваться после реализации мероприятий на основе заключения проведения комлексной режимной наладки</t>
  </si>
  <si>
    <t>Ведутся работы подрядной организацией. Отклонение за счет проведения нового закупа ТМЦ (недопоставленный объем за счет толеранта в заключенном договоре).</t>
  </si>
  <si>
    <t>Отклонение за счет проведения нового закупа ТМЦ (недопоставленный объем за счет толеранта в заключенном договоре)</t>
  </si>
  <si>
    <t>Отклонение возникло при проведении процедур по закупке товаров, работ и услуг</t>
  </si>
  <si>
    <t>Отклонение возникло при проведении процедур по закупке товаров, работ и услуг. Экономию планируется перераспределить на реализацию других мероприятий. Ведутся работы по замене изоляторов.</t>
  </si>
  <si>
    <t>Отклонение возникло при проведении процедур по закупке товаров, работ и услуг. ТМЦ поставлено.</t>
  </si>
  <si>
    <t>БРП "ЭнергоСети" ТОО "Kazakhmys Distribution (Казахмыс Дистрибьюшн)", услуги по передаче и распределению тепловой энергии</t>
  </si>
  <si>
    <t>БРП "ЭнергоСети" ТОО "Kazakhmys Distribution (Казахмыс Дистрибьюшн)", услуги подачи воды по распределительным сетям (хоз. питьевое водоснабжение)</t>
  </si>
  <si>
    <t>БРП "ЭнергоСети" ТОО "Kazakhmys Distribution (Казахмыс Дистрибьюшн)", услуги подачи воды по распределительным сетям (промышленное водоснабжение)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</si>
</sst>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0" borderId="0" xfId="0" applyNumberFormat="1" applyFont="1"/>
    <xf numFmtId="4" fontId="2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3" fontId="4" fillId="0" borderId="0" xfId="2" applyFont="1"/>
    <xf numFmtId="43" fontId="4" fillId="0" borderId="0" xfId="2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4" fontId="9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43" fontId="10" fillId="0" borderId="0" xfId="2" applyFont="1" applyAlignment="1">
      <alignment horizontal="center" vertical="center" wrapText="1"/>
    </xf>
    <xf numFmtId="43" fontId="10" fillId="0" borderId="0" xfId="0" applyNumberFormat="1" applyFont="1" applyAlignment="1">
      <alignment horizontal="center" vertical="center" wrapText="1"/>
    </xf>
    <xf numFmtId="164" fontId="10" fillId="0" borderId="0" xfId="2" applyNumberFormat="1" applyFont="1" applyAlignment="1">
      <alignment horizontal="center" vertical="center" wrapText="1"/>
    </xf>
    <xf numFmtId="3" fontId="9" fillId="0" borderId="0" xfId="0" applyNumberFormat="1" applyFont="1"/>
    <xf numFmtId="0" fontId="10" fillId="0" borderId="0" xfId="0" applyFont="1" applyFill="1" applyAlignment="1">
      <alignment horizontal="center" vertical="center" wrapText="1"/>
    </xf>
    <xf numFmtId="43" fontId="10" fillId="0" borderId="0" xfId="2" applyFont="1" applyFill="1" applyAlignment="1">
      <alignment horizontal="center" vertical="center" wrapText="1"/>
    </xf>
    <xf numFmtId="43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0" fontId="4" fillId="0" borderId="35" xfId="0" applyNumberFormat="1" applyFont="1" applyBorder="1" applyAlignment="1">
      <alignment horizontal="center" vertical="center" wrapText="1"/>
    </xf>
    <xf numFmtId="10" fontId="4" fillId="0" borderId="37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0;&#1089;&#1087;&#1086;&#1083;&#1085;&#1077;&#1085;&#1080;&#1103;%20&#1048;&#1055;%202021%20&#1075;&#1086;&#1076;&#1072;\&#1055;&#1086;&#1083;&#1091;&#1075;&#1086;&#1076;&#1080;&#1077;\&#1048;&#1055;_&#1050;&#1052;&#1044;_2021_01.07.21%20(6+6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S\AppData\Local\Microsoft\Windows\INetCache\Content.Outlook\STZ6BL2L\&#1048;&#1055;_&#1050;&#1052;&#1044;_2021_01.07.21%20(6+6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55;%202021%20&#1075;&#1086;&#1076;\&#1054;&#1090;%20&#1046;&#1080;&#1073;&#1077;&#1082;\&#1048;&#1055;_&#1050;&#1052;&#1044;_2021_01.07.21%20(6+6)%20&#1041;&#1056;&#105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 refreshError="1"/>
      <sheetData sheetId="1" refreshError="1">
        <row r="166">
          <cell r="BI166">
            <v>23.610373516746002</v>
          </cell>
        </row>
        <row r="168">
          <cell r="BI168">
            <v>1.481628746728</v>
          </cell>
        </row>
        <row r="169">
          <cell r="BI169">
            <v>10.909752000000003</v>
          </cell>
        </row>
        <row r="180">
          <cell r="BI180">
            <v>67.387729763152009</v>
          </cell>
        </row>
        <row r="186">
          <cell r="BI186">
            <v>4.4625930499999997</v>
          </cell>
        </row>
        <row r="187">
          <cell r="BI187">
            <v>3.1360000000000001</v>
          </cell>
        </row>
        <row r="188">
          <cell r="BI188">
            <v>34.059200000000011</v>
          </cell>
        </row>
        <row r="189">
          <cell r="BI189">
            <v>18.928000000000001</v>
          </cell>
        </row>
        <row r="190">
          <cell r="BI190">
            <v>11.53712</v>
          </cell>
        </row>
        <row r="191">
          <cell r="BI191">
            <v>60.319826984791199</v>
          </cell>
        </row>
        <row r="192">
          <cell r="BI192">
            <v>29.899999360000002</v>
          </cell>
        </row>
        <row r="195">
          <cell r="BI195">
            <v>3.1920000000000011</v>
          </cell>
        </row>
        <row r="196">
          <cell r="BI196">
            <v>32.336999999999996</v>
          </cell>
        </row>
        <row r="197">
          <cell r="BI197">
            <v>10.89312</v>
          </cell>
        </row>
        <row r="198">
          <cell r="BI198">
            <v>3.4722240000000006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/>
      <sheetData sheetId="1">
        <row r="194">
          <cell r="BI194">
            <v>5.00976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/>
      <sheetData sheetId="1">
        <row r="181">
          <cell r="BI181">
            <v>1.654625</v>
          </cell>
        </row>
        <row r="182">
          <cell r="BI182">
            <v>1.8915960000000001</v>
          </cell>
        </row>
        <row r="196">
          <cell r="BI196">
            <v>32.336999999999996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5"/>
  <sheetViews>
    <sheetView tabSelected="1" zoomScale="70" zoomScaleNormal="70" workbookViewId="0">
      <selection activeCell="A15" sqref="A15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4.85546875" style="9" customWidth="1"/>
    <col min="13" max="13" width="22.42578125" style="9" customWidth="1"/>
    <col min="14" max="14" width="12.140625" style="9" customWidth="1"/>
    <col min="15" max="23" width="9.140625" style="9" customWidth="1"/>
    <col min="24" max="24" width="9.28515625" style="9" customWidth="1"/>
    <col min="25" max="25" width="8.7109375" style="9" customWidth="1"/>
    <col min="26" max="26" width="24.5703125" style="9" customWidth="1"/>
    <col min="27" max="27" width="31" style="9" customWidth="1"/>
    <col min="28" max="28" width="20.7109375" style="9" customWidth="1"/>
    <col min="29" max="29" width="10" style="44" bestFit="1" customWidth="1"/>
    <col min="30" max="30" width="13.140625" style="44" customWidth="1"/>
    <col min="31" max="32" width="9.140625" style="9"/>
    <col min="33" max="33" width="11.7109375" style="9" bestFit="1" customWidth="1"/>
    <col min="34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N8" s="8" t="s">
        <v>35</v>
      </c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37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AA12" s="10"/>
    </row>
    <row r="13" spans="2:27" ht="13.5" thickBot="1" x14ac:dyDescent="0.25">
      <c r="J13" s="47">
        <v>866348.34</v>
      </c>
      <c r="K13" s="48">
        <f>J13-J19</f>
        <v>0.30044642882421613</v>
      </c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1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1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1" s="14" customFormat="1" x14ac:dyDescent="0.25">
      <c r="B19" s="27"/>
      <c r="C19" s="80" t="s">
        <v>98</v>
      </c>
      <c r="D19" s="17" t="s">
        <v>38</v>
      </c>
      <c r="E19" s="18"/>
      <c r="F19" s="18"/>
      <c r="G19" s="18"/>
      <c r="H19" s="20"/>
      <c r="I19" s="33"/>
      <c r="J19" s="30">
        <f>SUM(J20:J36)</f>
        <v>866348.03955357114</v>
      </c>
      <c r="K19" s="19">
        <f>SUM(K20:K36)</f>
        <v>718321.42114285717</v>
      </c>
      <c r="L19" s="19">
        <f>SUM(L20:L36)</f>
        <v>148026.6184107142</v>
      </c>
      <c r="M19" s="20"/>
      <c r="N19" s="40">
        <f>SUM(N20:N36)</f>
        <v>866348.03955357114</v>
      </c>
      <c r="O19" s="19">
        <f>SUM(O20:O36)</f>
        <v>0</v>
      </c>
      <c r="P19" s="18"/>
      <c r="Q19" s="20"/>
      <c r="R19" s="16"/>
      <c r="S19" s="18"/>
      <c r="T19" s="18"/>
      <c r="U19" s="18"/>
      <c r="V19" s="18"/>
      <c r="W19" s="18"/>
      <c r="X19" s="18"/>
      <c r="Y19" s="20"/>
      <c r="Z19" s="33"/>
      <c r="AA19" s="33"/>
      <c r="AB19" s="49" t="s">
        <v>104</v>
      </c>
      <c r="AC19" s="50"/>
      <c r="AD19" s="50"/>
      <c r="AE19" s="49"/>
    </row>
    <row r="20" spans="2:31" s="14" customFormat="1" ht="51" x14ac:dyDescent="0.25">
      <c r="B20" s="28">
        <v>1</v>
      </c>
      <c r="C20" s="81"/>
      <c r="D20" s="13" t="s">
        <v>39</v>
      </c>
      <c r="E20" s="13" t="s">
        <v>40</v>
      </c>
      <c r="F20" s="13">
        <v>1</v>
      </c>
      <c r="G20" s="13"/>
      <c r="H20" s="22"/>
      <c r="I20" s="34"/>
      <c r="J20" s="31">
        <f>30932711.5723999/1.12/1000</f>
        <v>27618.492475357052</v>
      </c>
      <c r="K20" s="15"/>
      <c r="L20" s="15">
        <f>J20-K20</f>
        <v>27618.492475357052</v>
      </c>
      <c r="M20" s="22" t="s">
        <v>152</v>
      </c>
      <c r="N20" s="37">
        <f>J20</f>
        <v>27618.492475357052</v>
      </c>
      <c r="O20" s="13"/>
      <c r="P20" s="13"/>
      <c r="Q20" s="22"/>
      <c r="R20" s="21"/>
      <c r="S20" s="13"/>
      <c r="T20" s="13" t="s">
        <v>93</v>
      </c>
      <c r="U20" s="13" t="s">
        <v>93</v>
      </c>
      <c r="V20" s="77">
        <v>6.69</v>
      </c>
      <c r="W20" s="77">
        <v>6.67</v>
      </c>
      <c r="X20" s="77">
        <v>19</v>
      </c>
      <c r="Y20" s="74">
        <v>14</v>
      </c>
      <c r="Z20" s="34" t="s">
        <v>152</v>
      </c>
      <c r="AA20" s="34" t="s">
        <v>154</v>
      </c>
      <c r="AB20" s="51" t="s">
        <v>105</v>
      </c>
      <c r="AC20" s="50">
        <v>27.618492475357101</v>
      </c>
      <c r="AD20" s="52">
        <f>AC20*1000</f>
        <v>27618.492475357099</v>
      </c>
      <c r="AE20" s="49" t="b">
        <f>J20=AD20</f>
        <v>1</v>
      </c>
    </row>
    <row r="21" spans="2:31" s="14" customFormat="1" ht="51" x14ac:dyDescent="0.25">
      <c r="B21" s="28">
        <v>2</v>
      </c>
      <c r="C21" s="81"/>
      <c r="D21" s="13" t="s">
        <v>41</v>
      </c>
      <c r="E21" s="13" t="s">
        <v>40</v>
      </c>
      <c r="F21" s="13">
        <v>1</v>
      </c>
      <c r="G21" s="13"/>
      <c r="H21" s="22"/>
      <c r="I21" s="34"/>
      <c r="J21" s="31">
        <f>6549113.4076/1.12/1000</f>
        <v>5847.4226853571427</v>
      </c>
      <c r="K21" s="15"/>
      <c r="L21" s="15">
        <f t="shared" ref="L21:L35" si="0">J21-K21</f>
        <v>5847.4226853571427</v>
      </c>
      <c r="M21" s="22" t="s">
        <v>152</v>
      </c>
      <c r="N21" s="37">
        <f t="shared" ref="N21:N35" si="1">J21</f>
        <v>5847.4226853571427</v>
      </c>
      <c r="O21" s="13"/>
      <c r="P21" s="13"/>
      <c r="Q21" s="22"/>
      <c r="R21" s="21"/>
      <c r="S21" s="13"/>
      <c r="T21" s="13" t="s">
        <v>93</v>
      </c>
      <c r="U21" s="13" t="s">
        <v>93</v>
      </c>
      <c r="V21" s="78"/>
      <c r="W21" s="78"/>
      <c r="X21" s="78"/>
      <c r="Y21" s="75"/>
      <c r="Z21" s="34" t="s">
        <v>152</v>
      </c>
      <c r="AA21" s="34" t="s">
        <v>154</v>
      </c>
      <c r="AB21" s="51" t="s">
        <v>106</v>
      </c>
      <c r="AC21" s="50">
        <v>5.8474226853571389</v>
      </c>
      <c r="AD21" s="52">
        <f t="shared" ref="AD21:AD36" si="2">AC21*1000</f>
        <v>5847.422685357139</v>
      </c>
      <c r="AE21" s="49" t="b">
        <f t="shared" ref="AE21:AE36" si="3">J21=AD21</f>
        <v>1</v>
      </c>
    </row>
    <row r="22" spans="2:31" s="14" customFormat="1" ht="51" x14ac:dyDescent="0.25">
      <c r="B22" s="28">
        <v>3</v>
      </c>
      <c r="C22" s="81"/>
      <c r="D22" s="13" t="s">
        <v>43</v>
      </c>
      <c r="E22" s="13" t="s">
        <v>44</v>
      </c>
      <c r="F22" s="13">
        <v>66</v>
      </c>
      <c r="G22" s="13"/>
      <c r="H22" s="22"/>
      <c r="I22" s="34"/>
      <c r="J22" s="31">
        <f>16376261/1.12/1000</f>
        <v>14621.661607142856</v>
      </c>
      <c r="K22" s="15">
        <f>16376261/1.12/1000</f>
        <v>14621.661607142856</v>
      </c>
      <c r="L22" s="15">
        <f t="shared" si="0"/>
        <v>0</v>
      </c>
      <c r="M22" s="22"/>
      <c r="N22" s="37">
        <f t="shared" si="1"/>
        <v>14621.661607142856</v>
      </c>
      <c r="O22" s="13"/>
      <c r="P22" s="13"/>
      <c r="Q22" s="22"/>
      <c r="R22" s="21"/>
      <c r="S22" s="13"/>
      <c r="T22" s="13" t="s">
        <v>93</v>
      </c>
      <c r="U22" s="13" t="s">
        <v>93</v>
      </c>
      <c r="V22" s="78"/>
      <c r="W22" s="78"/>
      <c r="X22" s="78"/>
      <c r="Y22" s="75"/>
      <c r="Z22" s="34" t="s">
        <v>150</v>
      </c>
      <c r="AA22" s="34" t="s">
        <v>154</v>
      </c>
      <c r="AB22" s="51" t="s">
        <v>107</v>
      </c>
      <c r="AC22" s="50">
        <v>14.621661607142855</v>
      </c>
      <c r="AD22" s="52">
        <f t="shared" si="2"/>
        <v>14621.661607142854</v>
      </c>
      <c r="AE22" s="49" t="b">
        <f t="shared" si="3"/>
        <v>1</v>
      </c>
    </row>
    <row r="23" spans="2:31" s="14" customFormat="1" ht="127.5" x14ac:dyDescent="0.25">
      <c r="B23" s="28">
        <v>4</v>
      </c>
      <c r="C23" s="81"/>
      <c r="D23" s="13" t="s">
        <v>45</v>
      </c>
      <c r="E23" s="13" t="s">
        <v>40</v>
      </c>
      <c r="F23" s="13">
        <v>1</v>
      </c>
      <c r="G23" s="13"/>
      <c r="H23" s="22"/>
      <c r="I23" s="34"/>
      <c r="J23" s="31">
        <f>100242306.29044/1.12/1000</f>
        <v>89502.059187892839</v>
      </c>
      <c r="K23" s="15">
        <f>(41148800+59053831.2)/1.12/1000</f>
        <v>89466.634999999995</v>
      </c>
      <c r="L23" s="15">
        <f t="shared" si="0"/>
        <v>35.424187892844202</v>
      </c>
      <c r="M23" s="22" t="s">
        <v>159</v>
      </c>
      <c r="N23" s="37">
        <f t="shared" si="1"/>
        <v>89502.059187892839</v>
      </c>
      <c r="O23" s="13"/>
      <c r="P23" s="13"/>
      <c r="Q23" s="22"/>
      <c r="R23" s="21"/>
      <c r="S23" s="13"/>
      <c r="T23" s="13">
        <v>2</v>
      </c>
      <c r="U23" s="13">
        <v>7</v>
      </c>
      <c r="V23" s="78"/>
      <c r="W23" s="78"/>
      <c r="X23" s="78"/>
      <c r="Y23" s="75"/>
      <c r="Z23" s="34" t="s">
        <v>160</v>
      </c>
      <c r="AA23" s="34" t="s">
        <v>154</v>
      </c>
      <c r="AB23" s="49" t="s">
        <v>108</v>
      </c>
      <c r="AC23" s="50">
        <v>89.502059187892797</v>
      </c>
      <c r="AD23" s="52">
        <f t="shared" si="2"/>
        <v>89502.059187892795</v>
      </c>
      <c r="AE23" s="49" t="b">
        <f>J23=AD23</f>
        <v>1</v>
      </c>
    </row>
    <row r="24" spans="2:31" s="14" customFormat="1" ht="51" x14ac:dyDescent="0.25">
      <c r="B24" s="28">
        <v>5</v>
      </c>
      <c r="C24" s="81"/>
      <c r="D24" s="13" t="s">
        <v>46</v>
      </c>
      <c r="E24" s="13" t="s">
        <v>40</v>
      </c>
      <c r="F24" s="13">
        <v>1</v>
      </c>
      <c r="G24" s="13"/>
      <c r="H24" s="22"/>
      <c r="I24" s="34"/>
      <c r="J24" s="31">
        <f>8833067.58/1.12/1000</f>
        <v>7886.667482142856</v>
      </c>
      <c r="K24" s="15">
        <f>J24</f>
        <v>7886.667482142856</v>
      </c>
      <c r="L24" s="15">
        <f t="shared" si="0"/>
        <v>0</v>
      </c>
      <c r="M24" s="22"/>
      <c r="N24" s="37">
        <f t="shared" si="1"/>
        <v>7886.667482142856</v>
      </c>
      <c r="O24" s="13"/>
      <c r="P24" s="13"/>
      <c r="Q24" s="22"/>
      <c r="R24" s="21"/>
      <c r="S24" s="13"/>
      <c r="T24" s="13"/>
      <c r="U24" s="13"/>
      <c r="V24" s="78"/>
      <c r="W24" s="78"/>
      <c r="X24" s="78"/>
      <c r="Y24" s="75"/>
      <c r="Z24" s="34" t="s">
        <v>153</v>
      </c>
      <c r="AA24" s="34" t="s">
        <v>155</v>
      </c>
      <c r="AB24" s="51" t="s">
        <v>109</v>
      </c>
      <c r="AC24" s="50">
        <v>7.8866674821428564</v>
      </c>
      <c r="AD24" s="52">
        <f t="shared" si="2"/>
        <v>7886.667482142856</v>
      </c>
      <c r="AE24" s="49" t="b">
        <f t="shared" si="3"/>
        <v>1</v>
      </c>
    </row>
    <row r="25" spans="2:31" s="14" customFormat="1" ht="89.25" x14ac:dyDescent="0.25">
      <c r="B25" s="28">
        <v>6</v>
      </c>
      <c r="C25" s="81"/>
      <c r="D25" s="13" t="s">
        <v>47</v>
      </c>
      <c r="E25" s="13" t="s">
        <v>40</v>
      </c>
      <c r="F25" s="13">
        <v>1</v>
      </c>
      <c r="G25" s="13"/>
      <c r="H25" s="22"/>
      <c r="I25" s="34"/>
      <c r="J25" s="31">
        <f>162739683.5/1.12/1000</f>
        <v>145303.2888392857</v>
      </c>
      <c r="K25" s="15">
        <f>(67870044.42+4119571+968403+32402908.71+46763005.91)/1.12/1000</f>
        <v>135824.94021428571</v>
      </c>
      <c r="L25" s="15">
        <f t="shared" si="0"/>
        <v>9478.3486249999842</v>
      </c>
      <c r="M25" s="22" t="s">
        <v>158</v>
      </c>
      <c r="N25" s="37">
        <f t="shared" si="1"/>
        <v>145303.2888392857</v>
      </c>
      <c r="O25" s="13"/>
      <c r="P25" s="13"/>
      <c r="Q25" s="22"/>
      <c r="R25" s="21"/>
      <c r="S25" s="13"/>
      <c r="T25" s="13"/>
      <c r="U25" s="13"/>
      <c r="V25" s="78"/>
      <c r="W25" s="78"/>
      <c r="X25" s="78"/>
      <c r="Y25" s="75"/>
      <c r="Z25" s="34" t="s">
        <v>157</v>
      </c>
      <c r="AA25" s="34" t="s">
        <v>155</v>
      </c>
      <c r="AB25" s="49" t="s">
        <v>110</v>
      </c>
      <c r="AC25" s="50">
        <v>145.3032888392857</v>
      </c>
      <c r="AD25" s="52">
        <f t="shared" si="2"/>
        <v>145303.2888392857</v>
      </c>
      <c r="AE25" s="49" t="b">
        <f t="shared" si="3"/>
        <v>1</v>
      </c>
    </row>
    <row r="26" spans="2:31" s="14" customFormat="1" ht="51" x14ac:dyDescent="0.25">
      <c r="B26" s="28">
        <v>7</v>
      </c>
      <c r="C26" s="81"/>
      <c r="D26" s="13" t="s">
        <v>48</v>
      </c>
      <c r="E26" s="13" t="s">
        <v>40</v>
      </c>
      <c r="F26" s="13">
        <v>1</v>
      </c>
      <c r="G26" s="13"/>
      <c r="H26" s="22"/>
      <c r="I26" s="34"/>
      <c r="J26" s="31">
        <f>87339557.26/1.12/1000</f>
        <v>77981.747553571433</v>
      </c>
      <c r="K26" s="15">
        <f>(35910683.82+512391+3476293+11367000.96+11739866.88+24333321.6)/1.12/1000</f>
        <v>77981.747553571433</v>
      </c>
      <c r="L26" s="15">
        <f t="shared" si="0"/>
        <v>0</v>
      </c>
      <c r="M26" s="22"/>
      <c r="N26" s="37">
        <f t="shared" si="1"/>
        <v>77981.747553571433</v>
      </c>
      <c r="O26" s="13"/>
      <c r="P26" s="13"/>
      <c r="Q26" s="22"/>
      <c r="R26" s="21"/>
      <c r="S26" s="13"/>
      <c r="T26" s="13"/>
      <c r="U26" s="13"/>
      <c r="V26" s="78"/>
      <c r="W26" s="78"/>
      <c r="X26" s="78"/>
      <c r="Y26" s="75"/>
      <c r="Z26" s="34" t="s">
        <v>148</v>
      </c>
      <c r="AA26" s="34" t="s">
        <v>155</v>
      </c>
      <c r="AB26" s="49" t="s">
        <v>111</v>
      </c>
      <c r="AC26" s="50">
        <v>77.98174755357141</v>
      </c>
      <c r="AD26" s="52">
        <f t="shared" si="2"/>
        <v>77981.747553571404</v>
      </c>
      <c r="AE26" s="49" t="b">
        <f t="shared" si="3"/>
        <v>1</v>
      </c>
    </row>
    <row r="27" spans="2:31" s="14" customFormat="1" ht="51" x14ac:dyDescent="0.25">
      <c r="B27" s="28">
        <v>8</v>
      </c>
      <c r="C27" s="81"/>
      <c r="D27" s="13" t="s">
        <v>49</v>
      </c>
      <c r="E27" s="13" t="s">
        <v>42</v>
      </c>
      <c r="F27" s="13">
        <v>1</v>
      </c>
      <c r="G27" s="13"/>
      <c r="H27" s="22"/>
      <c r="I27" s="34"/>
      <c r="J27" s="31">
        <f>185570112/1.12/1000</f>
        <v>165687.59999999998</v>
      </c>
      <c r="K27" s="15">
        <f>185570112/1.12/1000</f>
        <v>165687.59999999998</v>
      </c>
      <c r="L27" s="15">
        <f t="shared" si="0"/>
        <v>0</v>
      </c>
      <c r="M27" s="22"/>
      <c r="N27" s="37">
        <f t="shared" si="1"/>
        <v>165687.59999999998</v>
      </c>
      <c r="O27" s="13"/>
      <c r="P27" s="13"/>
      <c r="Q27" s="22"/>
      <c r="R27" s="21"/>
      <c r="S27" s="13"/>
      <c r="T27" s="13" t="s">
        <v>93</v>
      </c>
      <c r="U27" s="13" t="s">
        <v>93</v>
      </c>
      <c r="V27" s="78"/>
      <c r="W27" s="78"/>
      <c r="X27" s="78"/>
      <c r="Y27" s="75"/>
      <c r="Z27" s="34" t="s">
        <v>151</v>
      </c>
      <c r="AA27" s="34" t="s">
        <v>154</v>
      </c>
      <c r="AB27" s="49" t="s">
        <v>112</v>
      </c>
      <c r="AC27" s="50">
        <v>165.68759999999997</v>
      </c>
      <c r="AD27" s="52">
        <f t="shared" si="2"/>
        <v>165687.59999999998</v>
      </c>
      <c r="AE27" s="49" t="b">
        <f t="shared" si="3"/>
        <v>1</v>
      </c>
    </row>
    <row r="28" spans="2:31" s="14" customFormat="1" ht="51" x14ac:dyDescent="0.25">
      <c r="B28" s="28">
        <v>9</v>
      </c>
      <c r="C28" s="81"/>
      <c r="D28" s="13" t="s">
        <v>50</v>
      </c>
      <c r="E28" s="13" t="s">
        <v>42</v>
      </c>
      <c r="F28" s="13">
        <v>1</v>
      </c>
      <c r="G28" s="13"/>
      <c r="H28" s="22"/>
      <c r="I28" s="34"/>
      <c r="J28" s="31">
        <f>142508329.6/1.12/1000</f>
        <v>127239.57999999999</v>
      </c>
      <c r="K28" s="15">
        <f>142508329.6/1.12/1000</f>
        <v>127239.57999999999</v>
      </c>
      <c r="L28" s="15">
        <f t="shared" si="0"/>
        <v>0</v>
      </c>
      <c r="M28" s="22"/>
      <c r="N28" s="37">
        <f t="shared" si="1"/>
        <v>127239.57999999999</v>
      </c>
      <c r="O28" s="13"/>
      <c r="P28" s="13"/>
      <c r="Q28" s="22"/>
      <c r="R28" s="21"/>
      <c r="S28" s="13"/>
      <c r="T28" s="13" t="s">
        <v>93</v>
      </c>
      <c r="U28" s="13" t="s">
        <v>93</v>
      </c>
      <c r="V28" s="78"/>
      <c r="W28" s="78"/>
      <c r="X28" s="78"/>
      <c r="Y28" s="75"/>
      <c r="Z28" s="34" t="s">
        <v>151</v>
      </c>
      <c r="AA28" s="34" t="s">
        <v>154</v>
      </c>
      <c r="AB28" s="49" t="s">
        <v>113</v>
      </c>
      <c r="AC28" s="50">
        <v>127.23957999999999</v>
      </c>
      <c r="AD28" s="52">
        <f t="shared" si="2"/>
        <v>127239.57999999999</v>
      </c>
      <c r="AE28" s="49" t="b">
        <f t="shared" si="3"/>
        <v>1</v>
      </c>
    </row>
    <row r="29" spans="2:31" s="14" customFormat="1" ht="51" x14ac:dyDescent="0.25">
      <c r="B29" s="28">
        <v>10</v>
      </c>
      <c r="C29" s="81"/>
      <c r="D29" s="13" t="s">
        <v>51</v>
      </c>
      <c r="E29" s="13" t="s">
        <v>40</v>
      </c>
      <c r="F29" s="13">
        <v>1</v>
      </c>
      <c r="G29" s="13"/>
      <c r="H29" s="22"/>
      <c r="I29" s="34"/>
      <c r="J29" s="31">
        <f>5600077.28/1.12/1000</f>
        <v>5000.0690000000004</v>
      </c>
      <c r="K29" s="15">
        <f>5600077.28/1.12/1000</f>
        <v>5000.0690000000004</v>
      </c>
      <c r="L29" s="15">
        <f t="shared" si="0"/>
        <v>0</v>
      </c>
      <c r="M29" s="22"/>
      <c r="N29" s="37">
        <f t="shared" si="1"/>
        <v>5000.0690000000004</v>
      </c>
      <c r="O29" s="13"/>
      <c r="P29" s="13"/>
      <c r="Q29" s="22"/>
      <c r="R29" s="21"/>
      <c r="S29" s="13"/>
      <c r="T29" s="13" t="s">
        <v>93</v>
      </c>
      <c r="U29" s="13" t="s">
        <v>93</v>
      </c>
      <c r="V29" s="78"/>
      <c r="W29" s="78"/>
      <c r="X29" s="78"/>
      <c r="Y29" s="75"/>
      <c r="Z29" s="34" t="s">
        <v>148</v>
      </c>
      <c r="AA29" s="34" t="s">
        <v>154</v>
      </c>
      <c r="AB29" s="49" t="s">
        <v>114</v>
      </c>
      <c r="AC29" s="50">
        <v>5.0000689999999999</v>
      </c>
      <c r="AD29" s="52">
        <f t="shared" si="2"/>
        <v>5000.0689999999995</v>
      </c>
      <c r="AE29" s="49" t="b">
        <f t="shared" si="3"/>
        <v>1</v>
      </c>
    </row>
    <row r="30" spans="2:31" s="14" customFormat="1" ht="76.5" x14ac:dyDescent="0.25">
      <c r="B30" s="28">
        <v>11</v>
      </c>
      <c r="C30" s="81"/>
      <c r="D30" s="13" t="s">
        <v>52</v>
      </c>
      <c r="E30" s="13" t="s">
        <v>40</v>
      </c>
      <c r="F30" s="13">
        <v>1</v>
      </c>
      <c r="G30" s="13"/>
      <c r="H30" s="22"/>
      <c r="I30" s="34"/>
      <c r="J30" s="31">
        <f>65000000/1.12/1000</f>
        <v>58035.714285714283</v>
      </c>
      <c r="K30" s="15">
        <f>65000000/1.12/1000</f>
        <v>58035.714285714283</v>
      </c>
      <c r="L30" s="15">
        <f t="shared" si="0"/>
        <v>0</v>
      </c>
      <c r="M30" s="22"/>
      <c r="N30" s="37">
        <f t="shared" si="1"/>
        <v>58035.714285714283</v>
      </c>
      <c r="O30" s="13"/>
      <c r="P30" s="13"/>
      <c r="Q30" s="22"/>
      <c r="R30" s="21"/>
      <c r="S30" s="13"/>
      <c r="T30" s="13" t="s">
        <v>93</v>
      </c>
      <c r="U30" s="13" t="s">
        <v>93</v>
      </c>
      <c r="V30" s="78"/>
      <c r="W30" s="78"/>
      <c r="X30" s="78"/>
      <c r="Y30" s="75"/>
      <c r="Z30" s="34" t="s">
        <v>148</v>
      </c>
      <c r="AA30" s="34" t="s">
        <v>154</v>
      </c>
      <c r="AB30" s="49" t="s">
        <v>115</v>
      </c>
      <c r="AC30" s="50">
        <v>58.035714285714278</v>
      </c>
      <c r="AD30" s="52">
        <f t="shared" si="2"/>
        <v>58035.714285714275</v>
      </c>
      <c r="AE30" s="49" t="b">
        <f t="shared" si="3"/>
        <v>1</v>
      </c>
    </row>
    <row r="31" spans="2:31" s="14" customFormat="1" ht="51" x14ac:dyDescent="0.25">
      <c r="B31" s="28">
        <v>12</v>
      </c>
      <c r="C31" s="81"/>
      <c r="D31" s="13" t="s">
        <v>53</v>
      </c>
      <c r="E31" s="13" t="s">
        <v>40</v>
      </c>
      <c r="F31" s="13">
        <v>1</v>
      </c>
      <c r="G31" s="13"/>
      <c r="H31" s="22"/>
      <c r="I31" s="34"/>
      <c r="J31" s="31">
        <f>14995888.32/1.12/1000</f>
        <v>13389.185999999998</v>
      </c>
      <c r="K31" s="15">
        <f>14995888.32/1.12/1000</f>
        <v>13389.185999999998</v>
      </c>
      <c r="L31" s="15">
        <f t="shared" si="0"/>
        <v>0</v>
      </c>
      <c r="M31" s="22"/>
      <c r="N31" s="37">
        <f t="shared" si="1"/>
        <v>13389.185999999998</v>
      </c>
      <c r="O31" s="13"/>
      <c r="P31" s="13"/>
      <c r="Q31" s="22"/>
      <c r="R31" s="21"/>
      <c r="S31" s="13"/>
      <c r="T31" s="13" t="s">
        <v>93</v>
      </c>
      <c r="U31" s="13" t="s">
        <v>93</v>
      </c>
      <c r="V31" s="78"/>
      <c r="W31" s="78"/>
      <c r="X31" s="78"/>
      <c r="Y31" s="75"/>
      <c r="Z31" s="34" t="s">
        <v>148</v>
      </c>
      <c r="AA31" s="34" t="s">
        <v>154</v>
      </c>
      <c r="AB31" s="49" t="s">
        <v>116</v>
      </c>
      <c r="AC31" s="50">
        <v>13.389186000000009</v>
      </c>
      <c r="AD31" s="52">
        <f t="shared" si="2"/>
        <v>13389.186000000009</v>
      </c>
      <c r="AE31" s="49" t="b">
        <f t="shared" si="3"/>
        <v>1</v>
      </c>
    </row>
    <row r="32" spans="2:31" s="14" customFormat="1" ht="51" x14ac:dyDescent="0.25">
      <c r="B32" s="28">
        <v>13</v>
      </c>
      <c r="C32" s="81"/>
      <c r="D32" s="13" t="s">
        <v>54</v>
      </c>
      <c r="E32" s="13" t="s">
        <v>40</v>
      </c>
      <c r="F32" s="13">
        <v>1</v>
      </c>
      <c r="G32" s="13"/>
      <c r="H32" s="22"/>
      <c r="I32" s="34"/>
      <c r="J32" s="31">
        <f>34134147/1.12/1000</f>
        <v>30476.916964285712</v>
      </c>
      <c r="K32" s="15">
        <f>25970134.4/1.12/1000</f>
        <v>23187.619999999995</v>
      </c>
      <c r="L32" s="15">
        <f t="shared" si="0"/>
        <v>7289.296964285717</v>
      </c>
      <c r="M32" s="22" t="s">
        <v>159</v>
      </c>
      <c r="N32" s="37">
        <f t="shared" si="1"/>
        <v>30476.916964285712</v>
      </c>
      <c r="O32" s="13"/>
      <c r="P32" s="13"/>
      <c r="Q32" s="22"/>
      <c r="R32" s="21"/>
      <c r="S32" s="13"/>
      <c r="T32" s="13" t="s">
        <v>93</v>
      </c>
      <c r="U32" s="13" t="s">
        <v>93</v>
      </c>
      <c r="V32" s="78"/>
      <c r="W32" s="78"/>
      <c r="X32" s="78"/>
      <c r="Y32" s="75"/>
      <c r="Z32" s="34" t="s">
        <v>159</v>
      </c>
      <c r="AA32" s="34" t="s">
        <v>154</v>
      </c>
      <c r="AB32" s="49" t="s">
        <v>117</v>
      </c>
      <c r="AC32" s="50">
        <v>30.47691696428571</v>
      </c>
      <c r="AD32" s="52">
        <f t="shared" si="2"/>
        <v>30476.916964285709</v>
      </c>
      <c r="AE32" s="49" t="b">
        <f t="shared" si="3"/>
        <v>1</v>
      </c>
    </row>
    <row r="33" spans="2:31" s="14" customFormat="1" ht="51" x14ac:dyDescent="0.25">
      <c r="B33" s="28">
        <v>14</v>
      </c>
      <c r="C33" s="81"/>
      <c r="D33" s="43" t="s">
        <v>95</v>
      </c>
      <c r="E33" s="13" t="s">
        <v>42</v>
      </c>
      <c r="F33" s="13">
        <v>1</v>
      </c>
      <c r="G33" s="13"/>
      <c r="H33" s="22"/>
      <c r="I33" s="34"/>
      <c r="J33" s="31">
        <v>15297.3397232143</v>
      </c>
      <c r="K33" s="15"/>
      <c r="L33" s="15">
        <f t="shared" si="0"/>
        <v>15297.3397232143</v>
      </c>
      <c r="M33" s="22" t="s">
        <v>152</v>
      </c>
      <c r="N33" s="37">
        <f t="shared" si="1"/>
        <v>15297.3397232143</v>
      </c>
      <c r="O33" s="13"/>
      <c r="P33" s="13"/>
      <c r="Q33" s="22"/>
      <c r="R33" s="21"/>
      <c r="S33" s="13"/>
      <c r="T33" s="13" t="s">
        <v>93</v>
      </c>
      <c r="U33" s="13" t="s">
        <v>93</v>
      </c>
      <c r="V33" s="78"/>
      <c r="W33" s="78"/>
      <c r="X33" s="78"/>
      <c r="Y33" s="75"/>
      <c r="Z33" s="34" t="s">
        <v>152</v>
      </c>
      <c r="AA33" s="34" t="s">
        <v>154</v>
      </c>
      <c r="AB33" s="49">
        <v>0</v>
      </c>
      <c r="AC33" s="50">
        <v>15.2973397232143</v>
      </c>
      <c r="AD33" s="52">
        <f>AC33*1000</f>
        <v>15297.3397232143</v>
      </c>
      <c r="AE33" s="49" t="b">
        <f>J33=AD33</f>
        <v>1</v>
      </c>
    </row>
    <row r="34" spans="2:31" s="14" customFormat="1" ht="51" x14ac:dyDescent="0.25">
      <c r="B34" s="28">
        <v>15</v>
      </c>
      <c r="C34" s="81"/>
      <c r="D34" s="43" t="s">
        <v>96</v>
      </c>
      <c r="E34" s="13" t="s">
        <v>42</v>
      </c>
      <c r="F34" s="13">
        <v>1</v>
      </c>
      <c r="G34" s="13"/>
      <c r="H34" s="22"/>
      <c r="I34" s="34"/>
      <c r="J34" s="31">
        <f>70236049/1.12/1000</f>
        <v>62710.75803571428</v>
      </c>
      <c r="K34" s="15"/>
      <c r="L34" s="15">
        <f t="shared" si="0"/>
        <v>62710.75803571428</v>
      </c>
      <c r="M34" s="22" t="s">
        <v>152</v>
      </c>
      <c r="N34" s="37">
        <f t="shared" si="1"/>
        <v>62710.75803571428</v>
      </c>
      <c r="O34" s="13"/>
      <c r="P34" s="13"/>
      <c r="Q34" s="22"/>
      <c r="R34" s="21"/>
      <c r="S34" s="13"/>
      <c r="T34" s="13" t="s">
        <v>93</v>
      </c>
      <c r="U34" s="13" t="s">
        <v>93</v>
      </c>
      <c r="V34" s="78"/>
      <c r="W34" s="78"/>
      <c r="X34" s="78"/>
      <c r="Y34" s="75"/>
      <c r="Z34" s="34" t="s">
        <v>152</v>
      </c>
      <c r="AA34" s="34" t="s">
        <v>154</v>
      </c>
      <c r="AB34" s="49" t="s">
        <v>118</v>
      </c>
      <c r="AC34" s="50">
        <f>70.236049/1.12</f>
        <v>62.710758035714278</v>
      </c>
      <c r="AD34" s="52">
        <f t="shared" si="2"/>
        <v>62710.75803571428</v>
      </c>
      <c r="AE34" s="49" t="b">
        <f t="shared" si="3"/>
        <v>1</v>
      </c>
    </row>
    <row r="35" spans="2:31" s="14" customFormat="1" ht="51" x14ac:dyDescent="0.25">
      <c r="B35" s="28">
        <v>16</v>
      </c>
      <c r="C35" s="81"/>
      <c r="D35" s="43" t="s">
        <v>97</v>
      </c>
      <c r="E35" s="13" t="s">
        <v>42</v>
      </c>
      <c r="F35" s="13">
        <v>1</v>
      </c>
      <c r="G35" s="13"/>
      <c r="H35" s="22"/>
      <c r="I35" s="34"/>
      <c r="J35" s="31">
        <f>9987000/1.12/1000</f>
        <v>8916.9642857142862</v>
      </c>
      <c r="K35" s="15"/>
      <c r="L35" s="15">
        <f t="shared" si="0"/>
        <v>8916.9642857142862</v>
      </c>
      <c r="M35" s="22" t="s">
        <v>152</v>
      </c>
      <c r="N35" s="37">
        <f t="shared" si="1"/>
        <v>8916.9642857142862</v>
      </c>
      <c r="O35" s="13"/>
      <c r="P35" s="13"/>
      <c r="Q35" s="22"/>
      <c r="R35" s="21"/>
      <c r="S35" s="13"/>
      <c r="T35" s="13" t="s">
        <v>93</v>
      </c>
      <c r="U35" s="13" t="s">
        <v>93</v>
      </c>
      <c r="V35" s="78"/>
      <c r="W35" s="78"/>
      <c r="X35" s="78"/>
      <c r="Y35" s="75"/>
      <c r="Z35" s="34" t="s">
        <v>152</v>
      </c>
      <c r="AA35" s="34" t="s">
        <v>154</v>
      </c>
      <c r="AB35" s="49" t="s">
        <v>119</v>
      </c>
      <c r="AC35" s="50">
        <v>8.9169642857142897</v>
      </c>
      <c r="AD35" s="52">
        <f>AC35*1000</f>
        <v>8916.9642857142899</v>
      </c>
      <c r="AE35" s="49" t="b">
        <f t="shared" si="3"/>
        <v>1</v>
      </c>
    </row>
    <row r="36" spans="2:31" s="14" customFormat="1" ht="51.75" thickBot="1" x14ac:dyDescent="0.3">
      <c r="B36" s="29">
        <v>17</v>
      </c>
      <c r="C36" s="82"/>
      <c r="D36" s="24" t="s">
        <v>88</v>
      </c>
      <c r="E36" s="24" t="s">
        <v>42</v>
      </c>
      <c r="F36" s="24">
        <v>205</v>
      </c>
      <c r="G36" s="24"/>
      <c r="H36" s="26"/>
      <c r="I36" s="35"/>
      <c r="J36" s="32">
        <f>12132479.99956/1.12/1000</f>
        <v>10832.571428178571</v>
      </c>
      <c r="K36" s="25"/>
      <c r="L36" s="25">
        <f>J36-K36</f>
        <v>10832.571428178571</v>
      </c>
      <c r="M36" s="26" t="s">
        <v>152</v>
      </c>
      <c r="N36" s="38">
        <f>J36</f>
        <v>10832.571428178571</v>
      </c>
      <c r="O36" s="24"/>
      <c r="P36" s="24"/>
      <c r="Q36" s="26"/>
      <c r="R36" s="23"/>
      <c r="S36" s="24"/>
      <c r="T36" s="24" t="s">
        <v>93</v>
      </c>
      <c r="U36" s="24" t="s">
        <v>93</v>
      </c>
      <c r="V36" s="79"/>
      <c r="W36" s="79"/>
      <c r="X36" s="79"/>
      <c r="Y36" s="76"/>
      <c r="Z36" s="35" t="s">
        <v>152</v>
      </c>
      <c r="AA36" s="35" t="s">
        <v>154</v>
      </c>
      <c r="AB36" s="49" t="s">
        <v>120</v>
      </c>
      <c r="AC36" s="50">
        <v>10.832571428178571</v>
      </c>
      <c r="AD36" s="52">
        <f t="shared" si="2"/>
        <v>10832.571428178571</v>
      </c>
      <c r="AE36" s="49" t="b">
        <f t="shared" si="3"/>
        <v>1</v>
      </c>
    </row>
    <row r="37" spans="2:31" s="14" customFormat="1" x14ac:dyDescent="0.25">
      <c r="AC37" s="45"/>
      <c r="AD37" s="45"/>
    </row>
    <row r="38" spans="2:31" s="14" customFormat="1" x14ac:dyDescent="0.25">
      <c r="AC38" s="45"/>
      <c r="AD38" s="45"/>
    </row>
    <row r="39" spans="2:31" s="14" customFormat="1" x14ac:dyDescent="0.25">
      <c r="AC39" s="45"/>
      <c r="AD39" s="45"/>
    </row>
    <row r="40" spans="2:31" s="14" customFormat="1" x14ac:dyDescent="0.25">
      <c r="AC40" s="45"/>
      <c r="AD40" s="45"/>
    </row>
    <row r="41" spans="2:31" s="14" customFormat="1" x14ac:dyDescent="0.25">
      <c r="AC41" s="45"/>
      <c r="AD41" s="45"/>
    </row>
    <row r="42" spans="2:31" s="14" customFormat="1" x14ac:dyDescent="0.25">
      <c r="AC42" s="45"/>
      <c r="AD42" s="45"/>
    </row>
    <row r="43" spans="2:31" s="14" customFormat="1" x14ac:dyDescent="0.25">
      <c r="AC43" s="45"/>
      <c r="AD43" s="45"/>
    </row>
    <row r="44" spans="2:31" s="14" customFormat="1" x14ac:dyDescent="0.25">
      <c r="AC44" s="45"/>
      <c r="AD44" s="45"/>
    </row>
    <row r="45" spans="2:31" s="14" customFormat="1" x14ac:dyDescent="0.25">
      <c r="AC45" s="45"/>
      <c r="AD45" s="45"/>
    </row>
    <row r="46" spans="2:31" s="14" customFormat="1" x14ac:dyDescent="0.25">
      <c r="AC46" s="45"/>
      <c r="AD46" s="45"/>
    </row>
    <row r="47" spans="2:31" s="14" customFormat="1" x14ac:dyDescent="0.25">
      <c r="AC47" s="45"/>
      <c r="AD47" s="45"/>
    </row>
    <row r="48" spans="2:31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  <row r="172" spans="29:30" s="14" customFormat="1" x14ac:dyDescent="0.25">
      <c r="AC172" s="45"/>
      <c r="AD172" s="45"/>
    </row>
    <row r="173" spans="29:30" s="14" customFormat="1" x14ac:dyDescent="0.25">
      <c r="AC173" s="45"/>
      <c r="AD173" s="45"/>
    </row>
    <row r="174" spans="29:30" s="14" customFormat="1" x14ac:dyDescent="0.25">
      <c r="AC174" s="45"/>
      <c r="AD174" s="45"/>
    </row>
    <row r="175" spans="29:30" s="14" customFormat="1" x14ac:dyDescent="0.25">
      <c r="AC175" s="45"/>
      <c r="AD175" s="45"/>
    </row>
    <row r="176" spans="29:30" s="14" customFormat="1" x14ac:dyDescent="0.25">
      <c r="AC176" s="45"/>
      <c r="AD176" s="45"/>
    </row>
    <row r="177" spans="29:30" s="14" customFormat="1" x14ac:dyDescent="0.25">
      <c r="AC177" s="45"/>
      <c r="AD177" s="45"/>
    </row>
    <row r="178" spans="29:30" s="14" customFormat="1" x14ac:dyDescent="0.25">
      <c r="AC178" s="45"/>
      <c r="AD178" s="45"/>
    </row>
    <row r="179" spans="29:30" s="14" customFormat="1" x14ac:dyDescent="0.25">
      <c r="AC179" s="45"/>
      <c r="AD179" s="45"/>
    </row>
    <row r="180" spans="29:30" s="14" customFormat="1" x14ac:dyDescent="0.25">
      <c r="AC180" s="45"/>
      <c r="AD180" s="45"/>
    </row>
    <row r="181" spans="29:30" s="14" customFormat="1" x14ac:dyDescent="0.25">
      <c r="AC181" s="45"/>
      <c r="AD181" s="45"/>
    </row>
    <row r="182" spans="29:30" s="14" customFormat="1" x14ac:dyDescent="0.25">
      <c r="AC182" s="45"/>
      <c r="AD182" s="45"/>
    </row>
    <row r="183" spans="29:30" s="14" customFormat="1" x14ac:dyDescent="0.25">
      <c r="AC183" s="45"/>
      <c r="AD183" s="45"/>
    </row>
    <row r="184" spans="29:30" s="14" customFormat="1" x14ac:dyDescent="0.25">
      <c r="AC184" s="45"/>
      <c r="AD184" s="45"/>
    </row>
    <row r="185" spans="29:30" s="14" customFormat="1" x14ac:dyDescent="0.25">
      <c r="AC185" s="45"/>
      <c r="AD185" s="45"/>
    </row>
  </sheetData>
  <mergeCells count="34">
    <mergeCell ref="Y20:Y36"/>
    <mergeCell ref="V20:V36"/>
    <mergeCell ref="W20:W36"/>
    <mergeCell ref="X20:X36"/>
    <mergeCell ref="C19:C36"/>
    <mergeCell ref="B9:AA9"/>
    <mergeCell ref="B10:AA10"/>
    <mergeCell ref="B11:AA11"/>
    <mergeCell ref="D15:D17"/>
    <mergeCell ref="C15:C17"/>
    <mergeCell ref="B14:B17"/>
    <mergeCell ref="J15:J17"/>
    <mergeCell ref="I14:I17"/>
    <mergeCell ref="H15:H17"/>
    <mergeCell ref="G16:G17"/>
    <mergeCell ref="F16:F17"/>
    <mergeCell ref="E15:E17"/>
    <mergeCell ref="AA14:AA17"/>
    <mergeCell ref="P15:P17"/>
    <mergeCell ref="Q15:Q17"/>
    <mergeCell ref="C14:H14"/>
    <mergeCell ref="J14:M14"/>
    <mergeCell ref="F15:G15"/>
    <mergeCell ref="Z14:Z17"/>
    <mergeCell ref="N15:O16"/>
    <mergeCell ref="M15:M17"/>
    <mergeCell ref="L15:L17"/>
    <mergeCell ref="K15:K17"/>
    <mergeCell ref="R15:S16"/>
    <mergeCell ref="T15:U16"/>
    <mergeCell ref="V15:W16"/>
    <mergeCell ref="X15:Y16"/>
    <mergeCell ref="N14:Q14"/>
    <mergeCell ref="R14:Y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1"/>
  <sheetViews>
    <sheetView topLeftCell="E1" workbookViewId="0">
      <selection activeCell="J8" sqref="J8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1.7109375" style="9" customWidth="1"/>
    <col min="13" max="13" width="17" style="9" customWidth="1"/>
    <col min="14" max="15" width="10" style="9" bestFit="1" customWidth="1"/>
    <col min="16" max="17" width="9.140625" style="9"/>
    <col min="18" max="25" width="9.140625" style="9" customWidth="1"/>
    <col min="26" max="26" width="12.85546875" style="9" customWidth="1"/>
    <col min="27" max="27" width="28.7109375" style="9" customWidth="1"/>
    <col min="28" max="28" width="17.5703125" style="9" customWidth="1"/>
    <col min="29" max="30" width="10" style="44" bestFit="1" customWidth="1"/>
    <col min="31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K8" s="8" t="s">
        <v>35</v>
      </c>
      <c r="N8" s="8"/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162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AA12" s="10"/>
    </row>
    <row r="13" spans="2:27" ht="13.5" thickBot="1" x14ac:dyDescent="0.25">
      <c r="J13" s="47">
        <v>12185.44</v>
      </c>
      <c r="K13" s="48">
        <f>J13-J19</f>
        <v>-0.27428571428390569</v>
      </c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1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1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1" s="14" customFormat="1" x14ac:dyDescent="0.25">
      <c r="B19" s="27"/>
      <c r="C19" s="80" t="s">
        <v>99</v>
      </c>
      <c r="D19" s="17" t="s">
        <v>38</v>
      </c>
      <c r="E19" s="18"/>
      <c r="F19" s="18"/>
      <c r="G19" s="18"/>
      <c r="H19" s="20"/>
      <c r="I19" s="33"/>
      <c r="J19" s="30">
        <f>SUM(J20:J22)</f>
        <v>12185.714285714284</v>
      </c>
      <c r="K19" s="19">
        <f>SUM(K20:K22)</f>
        <v>11814.214285714284</v>
      </c>
      <c r="L19" s="19">
        <f>SUM(L20:L22)</f>
        <v>371.50000000000023</v>
      </c>
      <c r="M19" s="20"/>
      <c r="N19" s="40">
        <f>SUM(N20:N22)</f>
        <v>7675.37</v>
      </c>
      <c r="O19" s="19">
        <f>SUM(O20:O22)</f>
        <v>4510.3442857142845</v>
      </c>
      <c r="P19" s="18"/>
      <c r="Q19" s="20"/>
      <c r="R19" s="16"/>
      <c r="S19" s="18"/>
      <c r="T19" s="18"/>
      <c r="U19" s="18"/>
      <c r="V19" s="18"/>
      <c r="W19" s="18"/>
      <c r="X19" s="18"/>
      <c r="Y19" s="20"/>
      <c r="Z19" s="33"/>
      <c r="AA19" s="33"/>
      <c r="AC19" s="45"/>
      <c r="AD19" s="45"/>
    </row>
    <row r="20" spans="2:31" s="14" customFormat="1" ht="76.5" x14ac:dyDescent="0.25">
      <c r="B20" s="28">
        <v>1</v>
      </c>
      <c r="C20" s="81"/>
      <c r="D20" s="13" t="s">
        <v>56</v>
      </c>
      <c r="E20" s="13" t="s">
        <v>40</v>
      </c>
      <c r="F20" s="13">
        <v>1</v>
      </c>
      <c r="G20" s="13"/>
      <c r="H20" s="22"/>
      <c r="I20" s="34"/>
      <c r="J20" s="31">
        <f>9000000/1.12/1000</f>
        <v>8035.7142857142844</v>
      </c>
      <c r="K20" s="15">
        <f>J20</f>
        <v>8035.7142857142844</v>
      </c>
      <c r="L20" s="15">
        <f>J20-K20</f>
        <v>0</v>
      </c>
      <c r="M20" s="22"/>
      <c r="N20" s="37">
        <v>7675.37</v>
      </c>
      <c r="O20" s="15">
        <f>J20-N20</f>
        <v>360.34428571428452</v>
      </c>
      <c r="P20" s="13"/>
      <c r="Q20" s="22"/>
      <c r="R20" s="21"/>
      <c r="S20" s="13"/>
      <c r="T20" s="13" t="s">
        <v>93</v>
      </c>
      <c r="U20" s="13" t="s">
        <v>93</v>
      </c>
      <c r="V20" s="83">
        <v>0.14580000000000001</v>
      </c>
      <c r="W20" s="83">
        <v>0.14580000000000001</v>
      </c>
      <c r="X20" s="77">
        <v>4</v>
      </c>
      <c r="Y20" s="74">
        <v>4</v>
      </c>
      <c r="Z20" s="34" t="s">
        <v>153</v>
      </c>
      <c r="AA20" s="34" t="s">
        <v>156</v>
      </c>
      <c r="AB20" s="49" t="s">
        <v>131</v>
      </c>
      <c r="AC20" s="50">
        <v>8.0357142857142847</v>
      </c>
      <c r="AD20" s="50">
        <f>AC20*1000</f>
        <v>8035.7142857142844</v>
      </c>
      <c r="AE20" s="49" t="b">
        <f>AD20=J20</f>
        <v>1</v>
      </c>
    </row>
    <row r="21" spans="2:31" s="14" customFormat="1" ht="76.5" x14ac:dyDescent="0.25">
      <c r="B21" s="28">
        <v>2</v>
      </c>
      <c r="C21" s="81"/>
      <c r="D21" s="13" t="s">
        <v>57</v>
      </c>
      <c r="E21" s="13" t="s">
        <v>40</v>
      </c>
      <c r="F21" s="13">
        <v>1</v>
      </c>
      <c r="G21" s="13"/>
      <c r="H21" s="22"/>
      <c r="I21" s="34"/>
      <c r="J21" s="31">
        <f>4239649.377886/1.12/1000</f>
        <v>3785.4012302553569</v>
      </c>
      <c r="K21" s="15">
        <f>4231920/1.12/1000</f>
        <v>3778.4999999999995</v>
      </c>
      <c r="L21" s="15">
        <f>J21-K21</f>
        <v>6.9012302553574045</v>
      </c>
      <c r="M21" s="22" t="s">
        <v>159</v>
      </c>
      <c r="N21" s="39"/>
      <c r="O21" s="15">
        <v>3785.4012302553569</v>
      </c>
      <c r="P21" s="13"/>
      <c r="Q21" s="22"/>
      <c r="R21" s="21"/>
      <c r="S21" s="13"/>
      <c r="T21" s="13" t="s">
        <v>93</v>
      </c>
      <c r="U21" s="13" t="s">
        <v>93</v>
      </c>
      <c r="V21" s="84"/>
      <c r="W21" s="84"/>
      <c r="X21" s="78"/>
      <c r="Y21" s="75"/>
      <c r="Z21" s="34" t="s">
        <v>148</v>
      </c>
      <c r="AA21" s="34" t="s">
        <v>154</v>
      </c>
      <c r="AB21" s="49" t="s">
        <v>132</v>
      </c>
      <c r="AC21" s="50">
        <v>3.7854012302553568</v>
      </c>
      <c r="AD21" s="50">
        <f>AC21*1000</f>
        <v>3785.4012302553569</v>
      </c>
      <c r="AE21" s="49" t="b">
        <f>AD21=J21</f>
        <v>1</v>
      </c>
    </row>
    <row r="22" spans="2:31" s="14" customFormat="1" ht="64.5" thickBot="1" x14ac:dyDescent="0.3">
      <c r="B22" s="29">
        <v>3</v>
      </c>
      <c r="C22" s="82"/>
      <c r="D22" s="24" t="s">
        <v>89</v>
      </c>
      <c r="E22" s="24" t="s">
        <v>42</v>
      </c>
      <c r="F22" s="24">
        <v>3</v>
      </c>
      <c r="G22" s="24"/>
      <c r="H22" s="26"/>
      <c r="I22" s="35"/>
      <c r="J22" s="32">
        <f>408350.622114/1.12/1000</f>
        <v>364.59876974464282</v>
      </c>
      <c r="K22" s="25"/>
      <c r="L22" s="25">
        <f>J22-K22</f>
        <v>364.59876974464282</v>
      </c>
      <c r="M22" s="26" t="s">
        <v>152</v>
      </c>
      <c r="N22" s="38"/>
      <c r="O22" s="25">
        <v>364.59876974464282</v>
      </c>
      <c r="P22" s="24"/>
      <c r="Q22" s="26"/>
      <c r="R22" s="23"/>
      <c r="S22" s="24"/>
      <c r="T22" s="24" t="s">
        <v>93</v>
      </c>
      <c r="U22" s="24" t="s">
        <v>93</v>
      </c>
      <c r="V22" s="85"/>
      <c r="W22" s="85"/>
      <c r="X22" s="79"/>
      <c r="Y22" s="76"/>
      <c r="Z22" s="35" t="s">
        <v>152</v>
      </c>
      <c r="AA22" s="35" t="s">
        <v>154</v>
      </c>
      <c r="AB22" s="49" t="s">
        <v>133</v>
      </c>
      <c r="AC22" s="50">
        <v>0.36459876974464278</v>
      </c>
      <c r="AD22" s="50">
        <f>AC22*1000</f>
        <v>364.59876974464277</v>
      </c>
      <c r="AE22" s="49" t="b">
        <f>AD22=J22</f>
        <v>1</v>
      </c>
    </row>
    <row r="23" spans="2:31" s="14" customFormat="1" x14ac:dyDescent="0.25">
      <c r="AC23" s="45"/>
      <c r="AD23" s="45"/>
    </row>
    <row r="24" spans="2:31" s="14" customFormat="1" x14ac:dyDescent="0.25">
      <c r="AC24" s="45"/>
      <c r="AD24" s="45"/>
    </row>
    <row r="25" spans="2:31" s="14" customFormat="1" x14ac:dyDescent="0.25">
      <c r="AC25" s="45"/>
      <c r="AD25" s="45"/>
    </row>
    <row r="26" spans="2:31" s="14" customFormat="1" x14ac:dyDescent="0.25">
      <c r="AC26" s="45"/>
      <c r="AD26" s="45"/>
    </row>
    <row r="27" spans="2:31" s="14" customFormat="1" x14ac:dyDescent="0.25">
      <c r="AC27" s="45"/>
      <c r="AD27" s="45"/>
    </row>
    <row r="28" spans="2:31" s="14" customFormat="1" x14ac:dyDescent="0.25">
      <c r="AC28" s="45"/>
      <c r="AD28" s="45"/>
    </row>
    <row r="29" spans="2:31" s="14" customFormat="1" x14ac:dyDescent="0.25">
      <c r="AC29" s="45"/>
      <c r="AD29" s="45"/>
    </row>
    <row r="30" spans="2:31" s="14" customFormat="1" x14ac:dyDescent="0.25">
      <c r="AC30" s="45"/>
      <c r="AD30" s="45"/>
    </row>
    <row r="31" spans="2:31" s="14" customFormat="1" x14ac:dyDescent="0.25">
      <c r="AC31" s="45"/>
      <c r="AD31" s="45"/>
    </row>
    <row r="32" spans="2:31" s="14" customFormat="1" x14ac:dyDescent="0.25">
      <c r="AC32" s="45"/>
      <c r="AD32" s="45"/>
    </row>
    <row r="33" spans="29:30" s="14" customFormat="1" x14ac:dyDescent="0.25">
      <c r="AC33" s="45"/>
      <c r="AD33" s="45"/>
    </row>
    <row r="34" spans="29:30" s="14" customFormat="1" x14ac:dyDescent="0.25">
      <c r="AC34" s="45"/>
      <c r="AD34" s="45"/>
    </row>
    <row r="35" spans="29:30" s="14" customFormat="1" x14ac:dyDescent="0.25">
      <c r="AC35" s="45"/>
      <c r="AD35" s="45"/>
    </row>
    <row r="36" spans="29:30" s="14" customFormat="1" x14ac:dyDescent="0.25">
      <c r="AC36" s="45"/>
      <c r="AD36" s="45"/>
    </row>
    <row r="37" spans="29:30" s="14" customFormat="1" x14ac:dyDescent="0.25">
      <c r="AC37" s="45"/>
      <c r="AD37" s="45"/>
    </row>
    <row r="38" spans="29:30" s="14" customFormat="1" x14ac:dyDescent="0.25">
      <c r="AC38" s="45"/>
      <c r="AD38" s="45"/>
    </row>
    <row r="39" spans="29:30" s="14" customFormat="1" x14ac:dyDescent="0.25">
      <c r="AC39" s="45"/>
      <c r="AD39" s="45"/>
    </row>
    <row r="40" spans="29:30" s="14" customFormat="1" x14ac:dyDescent="0.25">
      <c r="AC40" s="45"/>
      <c r="AD40" s="45"/>
    </row>
    <row r="41" spans="29:30" s="14" customFormat="1" x14ac:dyDescent="0.25">
      <c r="AC41" s="45"/>
      <c r="AD41" s="45"/>
    </row>
    <row r="42" spans="29:30" s="14" customFormat="1" x14ac:dyDescent="0.25">
      <c r="AC42" s="45"/>
      <c r="AD42" s="45"/>
    </row>
    <row r="43" spans="29:30" s="14" customFormat="1" x14ac:dyDescent="0.25">
      <c r="AC43" s="45"/>
      <c r="AD43" s="45"/>
    </row>
    <row r="44" spans="29:30" s="14" customFormat="1" x14ac:dyDescent="0.25">
      <c r="AC44" s="45"/>
      <c r="AD44" s="45"/>
    </row>
    <row r="45" spans="29:30" s="14" customFormat="1" x14ac:dyDescent="0.25">
      <c r="AC45" s="45"/>
      <c r="AD45" s="45"/>
    </row>
    <row r="46" spans="29:30" s="14" customFormat="1" x14ac:dyDescent="0.25">
      <c r="AC46" s="45"/>
      <c r="AD46" s="45"/>
    </row>
    <row r="47" spans="29:30" s="14" customFormat="1" x14ac:dyDescent="0.25">
      <c r="AC47" s="45"/>
      <c r="AD47" s="45"/>
    </row>
    <row r="48" spans="29:30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</sheetData>
  <mergeCells count="34">
    <mergeCell ref="V20:V22"/>
    <mergeCell ref="W20:W22"/>
    <mergeCell ref="X20:X22"/>
    <mergeCell ref="Y20:Y22"/>
    <mergeCell ref="F16:F17"/>
    <mergeCell ref="G16:G17"/>
    <mergeCell ref="X15:Y16"/>
    <mergeCell ref="Q15:Q17"/>
    <mergeCell ref="R15:S16"/>
    <mergeCell ref="T15:U16"/>
    <mergeCell ref="V15:W16"/>
    <mergeCell ref="C19:C22"/>
    <mergeCell ref="N15:O16"/>
    <mergeCell ref="P15:P17"/>
    <mergeCell ref="J15:J17"/>
    <mergeCell ref="K15:K17"/>
    <mergeCell ref="L15:L17"/>
    <mergeCell ref="M15:M1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71"/>
  <sheetViews>
    <sheetView workbookViewId="0">
      <selection activeCell="B10" sqref="B10:AA10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1.7109375" style="9" customWidth="1"/>
    <col min="13" max="13" width="18.28515625" style="9" customWidth="1"/>
    <col min="14" max="14" width="10" style="9" customWidth="1"/>
    <col min="15" max="17" width="9.140625" style="9"/>
    <col min="18" max="25" width="9.140625" style="9" customWidth="1"/>
    <col min="26" max="26" width="20.5703125" style="9" customWidth="1"/>
    <col min="27" max="27" width="25.7109375" style="9" customWidth="1"/>
    <col min="28" max="28" width="11.28515625" style="9" customWidth="1"/>
    <col min="29" max="30" width="11.28515625" style="44" customWidth="1"/>
    <col min="31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K8" s="8" t="s">
        <v>35</v>
      </c>
      <c r="N8" s="8"/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163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AA12" s="10"/>
    </row>
    <row r="13" spans="2:27" ht="13.5" thickBot="1" x14ac:dyDescent="0.25">
      <c r="J13" s="53">
        <v>17649.321</v>
      </c>
      <c r="K13" s="48">
        <f>J19</f>
        <v>17649.107142857141</v>
      </c>
      <c r="L13" s="48">
        <f>J13-K13</f>
        <v>0.21385714285861468</v>
      </c>
      <c r="N13" s="36"/>
      <c r="O13" s="36"/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3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3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3" s="14" customFormat="1" x14ac:dyDescent="0.25">
      <c r="B19" s="27"/>
      <c r="C19" s="80" t="s">
        <v>100</v>
      </c>
      <c r="D19" s="17" t="s">
        <v>38</v>
      </c>
      <c r="E19" s="18"/>
      <c r="F19" s="18"/>
      <c r="G19" s="18"/>
      <c r="H19" s="20"/>
      <c r="I19" s="33"/>
      <c r="J19" s="30">
        <f>SUM(J20:J22)</f>
        <v>17649.107142857141</v>
      </c>
      <c r="K19" s="19">
        <f>SUM(K20:K22)</f>
        <v>17041.32143</v>
      </c>
      <c r="L19" s="19">
        <f>SUM(L20:L22)</f>
        <v>607.78571285714202</v>
      </c>
      <c r="M19" s="20"/>
      <c r="N19" s="40">
        <f>SUM(N20:N22)</f>
        <v>4991.1371428571429</v>
      </c>
      <c r="O19" s="19">
        <f>SUM(O20:O22)</f>
        <v>12657.97</v>
      </c>
      <c r="P19" s="18"/>
      <c r="Q19" s="20"/>
      <c r="R19" s="16"/>
      <c r="S19" s="18"/>
      <c r="T19" s="18"/>
      <c r="U19" s="18"/>
      <c r="V19" s="86">
        <v>0.1278</v>
      </c>
      <c r="W19" s="86">
        <v>0.1278</v>
      </c>
      <c r="X19" s="87">
        <v>16</v>
      </c>
      <c r="Y19" s="88">
        <v>4</v>
      </c>
      <c r="Z19" s="33"/>
      <c r="AA19" s="33"/>
      <c r="AC19" s="45"/>
      <c r="AD19" s="45"/>
    </row>
    <row r="20" spans="2:33" s="14" customFormat="1" ht="76.5" x14ac:dyDescent="0.25">
      <c r="B20" s="28">
        <v>1</v>
      </c>
      <c r="C20" s="81"/>
      <c r="D20" s="13" t="s">
        <v>58</v>
      </c>
      <c r="E20" s="13" t="s">
        <v>42</v>
      </c>
      <c r="F20" s="13">
        <v>2</v>
      </c>
      <c r="G20" s="13"/>
      <c r="H20" s="22"/>
      <c r="I20" s="34"/>
      <c r="J20" s="31">
        <f>757512.402983999/1.12/1000</f>
        <v>676.3503598071419</v>
      </c>
      <c r="K20" s="15">
        <f>757120/1.12/1000</f>
        <v>675.99999999999989</v>
      </c>
      <c r="L20" s="15">
        <f>J20-K20</f>
        <v>0.35035980714201287</v>
      </c>
      <c r="M20" s="22" t="s">
        <v>159</v>
      </c>
      <c r="N20" s="37">
        <f>J20</f>
        <v>676.3503598071419</v>
      </c>
      <c r="O20" s="13"/>
      <c r="P20" s="13"/>
      <c r="Q20" s="22"/>
      <c r="R20" s="21"/>
      <c r="S20" s="13"/>
      <c r="T20" s="13" t="s">
        <v>93</v>
      </c>
      <c r="U20" s="13" t="s">
        <v>93</v>
      </c>
      <c r="V20" s="84"/>
      <c r="W20" s="84"/>
      <c r="X20" s="78"/>
      <c r="Y20" s="75"/>
      <c r="Z20" s="34" t="s">
        <v>161</v>
      </c>
      <c r="AA20" s="34" t="s">
        <v>154</v>
      </c>
      <c r="AB20" s="54" t="s">
        <v>129</v>
      </c>
      <c r="AC20" s="55">
        <f>0.757512402983999/1.12</f>
        <v>0.67635035980714187</v>
      </c>
      <c r="AD20" s="55">
        <f>AC20*1000</f>
        <v>676.3503598071419</v>
      </c>
      <c r="AE20" s="54" t="b">
        <f>AD20=J20</f>
        <v>1</v>
      </c>
      <c r="AG20" s="46"/>
    </row>
    <row r="21" spans="2:33" s="14" customFormat="1" ht="63.75" x14ac:dyDescent="0.25">
      <c r="B21" s="28">
        <v>2</v>
      </c>
      <c r="C21" s="81"/>
      <c r="D21" s="13" t="s">
        <v>59</v>
      </c>
      <c r="E21" s="13" t="s">
        <v>40</v>
      </c>
      <c r="F21" s="13">
        <v>1</v>
      </c>
      <c r="G21" s="13"/>
      <c r="H21" s="22"/>
      <c r="I21" s="34"/>
      <c r="J21" s="31">
        <f>18329.1600016/1.12</f>
        <v>16365.32143</v>
      </c>
      <c r="K21" s="15">
        <f>18329160.0016/1.12/1000</f>
        <v>16365.32143</v>
      </c>
      <c r="L21" s="15">
        <f>J21-K21</f>
        <v>0</v>
      </c>
      <c r="M21" s="22"/>
      <c r="N21" s="39">
        <f>J21-O21</f>
        <v>3707.3514300000006</v>
      </c>
      <c r="O21" s="15">
        <v>12657.97</v>
      </c>
      <c r="P21" s="13"/>
      <c r="Q21" s="22"/>
      <c r="R21" s="21"/>
      <c r="S21" s="13"/>
      <c r="T21" s="13" t="s">
        <v>93</v>
      </c>
      <c r="U21" s="13" t="s">
        <v>93</v>
      </c>
      <c r="V21" s="84"/>
      <c r="W21" s="84"/>
      <c r="X21" s="78"/>
      <c r="Y21" s="75"/>
      <c r="Z21" s="34" t="s">
        <v>148</v>
      </c>
      <c r="AA21" s="34" t="s">
        <v>154</v>
      </c>
      <c r="AB21" s="54" t="s">
        <v>130</v>
      </c>
      <c r="AC21" s="55">
        <v>16.365321430000002</v>
      </c>
      <c r="AD21" s="55">
        <f>AC21*1000</f>
        <v>16365.321430000002</v>
      </c>
      <c r="AE21" s="54" t="b">
        <f>AD21=J21</f>
        <v>1</v>
      </c>
    </row>
    <row r="22" spans="2:33" s="14" customFormat="1" ht="64.5" thickBot="1" x14ac:dyDescent="0.3">
      <c r="B22" s="29">
        <v>3</v>
      </c>
      <c r="C22" s="82"/>
      <c r="D22" s="24" t="s">
        <v>90</v>
      </c>
      <c r="E22" s="24" t="s">
        <v>42</v>
      </c>
      <c r="F22" s="24">
        <v>605</v>
      </c>
      <c r="G22" s="24"/>
      <c r="H22" s="26"/>
      <c r="I22" s="35"/>
      <c r="J22" s="32">
        <f>680.327595416/1.12</f>
        <v>607.43535305</v>
      </c>
      <c r="K22" s="25"/>
      <c r="L22" s="25">
        <f>J22-K22</f>
        <v>607.43535305</v>
      </c>
      <c r="M22" s="26" t="s">
        <v>152</v>
      </c>
      <c r="N22" s="38">
        <f>J22</f>
        <v>607.43535305</v>
      </c>
      <c r="O22" s="24"/>
      <c r="P22" s="24"/>
      <c r="Q22" s="26"/>
      <c r="R22" s="23"/>
      <c r="S22" s="24"/>
      <c r="T22" s="24" t="s">
        <v>93</v>
      </c>
      <c r="U22" s="24" t="s">
        <v>93</v>
      </c>
      <c r="V22" s="85"/>
      <c r="W22" s="85"/>
      <c r="X22" s="79"/>
      <c r="Y22" s="76"/>
      <c r="Z22" s="35" t="s">
        <v>152</v>
      </c>
      <c r="AA22" s="35" t="s">
        <v>154</v>
      </c>
      <c r="AB22" s="54" t="s">
        <v>125</v>
      </c>
      <c r="AC22" s="55">
        <v>0.60743535304999996</v>
      </c>
      <c r="AD22" s="55">
        <f>AC22*1000</f>
        <v>607.43535305</v>
      </c>
      <c r="AE22" s="54" t="b">
        <f>AD22=J22</f>
        <v>1</v>
      </c>
    </row>
    <row r="23" spans="2:33" s="14" customFormat="1" x14ac:dyDescent="0.25">
      <c r="AC23" s="45"/>
      <c r="AD23" s="45"/>
    </row>
    <row r="24" spans="2:33" s="14" customFormat="1" x14ac:dyDescent="0.25">
      <c r="AC24" s="45"/>
      <c r="AD24" s="45"/>
    </row>
    <row r="25" spans="2:33" s="14" customFormat="1" x14ac:dyDescent="0.25">
      <c r="AC25" s="45"/>
      <c r="AD25" s="45"/>
    </row>
    <row r="26" spans="2:33" s="14" customFormat="1" x14ac:dyDescent="0.25">
      <c r="AC26" s="45"/>
      <c r="AD26" s="45"/>
    </row>
    <row r="27" spans="2:33" s="14" customFormat="1" x14ac:dyDescent="0.25">
      <c r="AC27" s="45"/>
      <c r="AD27" s="45"/>
    </row>
    <row r="28" spans="2:33" s="14" customFormat="1" x14ac:dyDescent="0.25">
      <c r="AC28" s="45"/>
      <c r="AD28" s="45"/>
    </row>
    <row r="29" spans="2:33" s="14" customFormat="1" x14ac:dyDescent="0.25">
      <c r="AC29" s="45"/>
      <c r="AD29" s="45"/>
    </row>
    <row r="30" spans="2:33" s="14" customFormat="1" x14ac:dyDescent="0.25">
      <c r="AC30" s="45"/>
      <c r="AD30" s="45"/>
    </row>
    <row r="31" spans="2:33" s="14" customFormat="1" x14ac:dyDescent="0.25">
      <c r="AC31" s="45"/>
      <c r="AD31" s="45"/>
    </row>
    <row r="32" spans="2:33" s="14" customFormat="1" x14ac:dyDescent="0.25">
      <c r="AC32" s="45"/>
      <c r="AD32" s="45"/>
    </row>
    <row r="33" spans="29:30" s="14" customFormat="1" x14ac:dyDescent="0.25">
      <c r="AC33" s="45"/>
      <c r="AD33" s="45"/>
    </row>
    <row r="34" spans="29:30" s="14" customFormat="1" x14ac:dyDescent="0.25">
      <c r="AC34" s="45"/>
      <c r="AD34" s="45"/>
    </row>
    <row r="35" spans="29:30" s="14" customFormat="1" x14ac:dyDescent="0.25">
      <c r="AC35" s="45"/>
      <c r="AD35" s="45"/>
    </row>
    <row r="36" spans="29:30" s="14" customFormat="1" x14ac:dyDescent="0.25">
      <c r="AC36" s="45"/>
      <c r="AD36" s="45"/>
    </row>
    <row r="37" spans="29:30" s="14" customFormat="1" x14ac:dyDescent="0.25">
      <c r="AC37" s="45"/>
      <c r="AD37" s="45"/>
    </row>
    <row r="38" spans="29:30" s="14" customFormat="1" x14ac:dyDescent="0.25">
      <c r="AC38" s="45"/>
      <c r="AD38" s="45"/>
    </row>
    <row r="39" spans="29:30" s="14" customFormat="1" x14ac:dyDescent="0.25">
      <c r="AC39" s="45"/>
      <c r="AD39" s="45"/>
    </row>
    <row r="40" spans="29:30" s="14" customFormat="1" x14ac:dyDescent="0.25">
      <c r="AC40" s="45"/>
      <c r="AD40" s="45"/>
    </row>
    <row r="41" spans="29:30" s="14" customFormat="1" x14ac:dyDescent="0.25">
      <c r="AC41" s="45"/>
      <c r="AD41" s="45"/>
    </row>
    <row r="42" spans="29:30" s="14" customFormat="1" x14ac:dyDescent="0.25">
      <c r="AC42" s="45"/>
      <c r="AD42" s="45"/>
    </row>
    <row r="43" spans="29:30" s="14" customFormat="1" x14ac:dyDescent="0.25">
      <c r="AC43" s="45"/>
      <c r="AD43" s="45"/>
    </row>
    <row r="44" spans="29:30" s="14" customFormat="1" x14ac:dyDescent="0.25">
      <c r="AC44" s="45"/>
      <c r="AD44" s="45"/>
    </row>
    <row r="45" spans="29:30" s="14" customFormat="1" x14ac:dyDescent="0.25">
      <c r="AC45" s="45"/>
      <c r="AD45" s="45"/>
    </row>
    <row r="46" spans="29:30" s="14" customFormat="1" x14ac:dyDescent="0.25">
      <c r="AC46" s="45"/>
      <c r="AD46" s="45"/>
    </row>
    <row r="47" spans="29:30" s="14" customFormat="1" x14ac:dyDescent="0.25">
      <c r="AC47" s="45"/>
      <c r="AD47" s="45"/>
    </row>
    <row r="48" spans="29:30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</sheetData>
  <mergeCells count="34">
    <mergeCell ref="V19:V22"/>
    <mergeCell ref="W19:W22"/>
    <mergeCell ref="X19:X22"/>
    <mergeCell ref="Y19:Y22"/>
    <mergeCell ref="F16:F17"/>
    <mergeCell ref="G16:G17"/>
    <mergeCell ref="X15:Y16"/>
    <mergeCell ref="Q15:Q17"/>
    <mergeCell ref="R15:S16"/>
    <mergeCell ref="T15:U16"/>
    <mergeCell ref="V15:W16"/>
    <mergeCell ref="C19:C22"/>
    <mergeCell ref="N15:O16"/>
    <mergeCell ref="P15:P17"/>
    <mergeCell ref="J15:J17"/>
    <mergeCell ref="K15:K17"/>
    <mergeCell ref="L15:L17"/>
    <mergeCell ref="M15:M1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1"/>
  <sheetViews>
    <sheetView workbookViewId="0">
      <selection activeCell="B10" sqref="B10:AA10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1.7109375" style="9" customWidth="1"/>
    <col min="13" max="13" width="15.7109375" style="9" customWidth="1"/>
    <col min="14" max="17" width="9.140625" style="9"/>
    <col min="18" max="25" width="9.140625" style="9" customWidth="1"/>
    <col min="26" max="26" width="23.140625" style="9" customWidth="1"/>
    <col min="27" max="27" width="30" style="9" customWidth="1"/>
    <col min="28" max="28" width="12.140625" style="9" customWidth="1"/>
    <col min="29" max="30" width="12.140625" style="44" customWidth="1"/>
    <col min="31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K8" s="8" t="s">
        <v>35</v>
      </c>
      <c r="N8" s="8"/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164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AA12" s="10"/>
    </row>
    <row r="13" spans="2:27" ht="13.5" thickBot="1" x14ac:dyDescent="0.25">
      <c r="J13" s="53">
        <v>32144.774000000001</v>
      </c>
      <c r="K13" s="48">
        <f>J19</f>
        <v>32144.423449530354</v>
      </c>
      <c r="L13" s="48">
        <f>J13-K13</f>
        <v>0.35055046964771464</v>
      </c>
      <c r="N13" s="36"/>
      <c r="O13" s="36"/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1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1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1" s="14" customFormat="1" x14ac:dyDescent="0.25">
      <c r="B19" s="27"/>
      <c r="C19" s="80" t="s">
        <v>101</v>
      </c>
      <c r="D19" s="17" t="s">
        <v>38</v>
      </c>
      <c r="E19" s="18"/>
      <c r="F19" s="18"/>
      <c r="G19" s="18"/>
      <c r="H19" s="20"/>
      <c r="I19" s="33"/>
      <c r="J19" s="30">
        <f>SUM(J20:J22)</f>
        <v>32144.423449530354</v>
      </c>
      <c r="K19" s="19">
        <f>SUM(K20:K22)</f>
        <v>28275.644211380357</v>
      </c>
      <c r="L19" s="19">
        <f>SUM(L20:L22)</f>
        <v>3868.7792381499994</v>
      </c>
      <c r="M19" s="20"/>
      <c r="N19" s="40">
        <f>SUM(N20:N22)</f>
        <v>9034.26</v>
      </c>
      <c r="O19" s="19">
        <f>SUM(O20:O22)</f>
        <v>23110.163449530355</v>
      </c>
      <c r="P19" s="18"/>
      <c r="Q19" s="20"/>
      <c r="R19" s="16"/>
      <c r="S19" s="18"/>
      <c r="T19" s="18"/>
      <c r="U19" s="18"/>
      <c r="V19" s="18"/>
      <c r="W19" s="18"/>
      <c r="X19" s="18"/>
      <c r="Y19" s="20"/>
      <c r="Z19" s="33"/>
      <c r="AA19" s="33"/>
      <c r="AC19" s="45"/>
      <c r="AD19" s="45"/>
    </row>
    <row r="20" spans="2:31" s="14" customFormat="1" ht="76.5" x14ac:dyDescent="0.25">
      <c r="B20" s="28">
        <v>1</v>
      </c>
      <c r="C20" s="81"/>
      <c r="D20" s="13" t="s">
        <v>60</v>
      </c>
      <c r="E20" s="13" t="s">
        <v>40</v>
      </c>
      <c r="F20" s="13">
        <v>1</v>
      </c>
      <c r="G20" s="13"/>
      <c r="H20" s="22"/>
      <c r="I20" s="34"/>
      <c r="J20" s="31">
        <f>23610.373516746/1.12</f>
        <v>21080.690639951783</v>
      </c>
      <c r="K20" s="15">
        <f>20758969.516746/1.12/1000</f>
        <v>18534.794211380355</v>
      </c>
      <c r="L20" s="15">
        <f>J20-K20</f>
        <v>2545.8964285714283</v>
      </c>
      <c r="M20" s="22" t="s">
        <v>159</v>
      </c>
      <c r="N20" s="37"/>
      <c r="O20" s="15">
        <f>J20</f>
        <v>21080.690639951783</v>
      </c>
      <c r="P20" s="13"/>
      <c r="Q20" s="22"/>
      <c r="R20" s="21"/>
      <c r="S20" s="13"/>
      <c r="T20" s="13" t="s">
        <v>93</v>
      </c>
      <c r="U20" s="13" t="s">
        <v>93</v>
      </c>
      <c r="V20" s="83">
        <v>9.0999999999999998E-2</v>
      </c>
      <c r="W20" s="83">
        <v>9.0999999999999998E-2</v>
      </c>
      <c r="X20" s="77">
        <v>6</v>
      </c>
      <c r="Y20" s="74">
        <v>6</v>
      </c>
      <c r="Z20" s="34" t="s">
        <v>148</v>
      </c>
      <c r="AA20" s="34" t="s">
        <v>154</v>
      </c>
      <c r="AB20" s="49" t="s">
        <v>126</v>
      </c>
      <c r="AC20" s="50">
        <f>'[1]ИП 21_на 01.07.'!$BI$166/1.12</f>
        <v>21.080690639951786</v>
      </c>
      <c r="AD20" s="50">
        <f>AC20*1000</f>
        <v>21080.690639951787</v>
      </c>
      <c r="AE20" s="49" t="b">
        <f>J20=AD20</f>
        <v>1</v>
      </c>
    </row>
    <row r="21" spans="2:31" s="14" customFormat="1" ht="51" x14ac:dyDescent="0.25">
      <c r="B21" s="28">
        <v>2</v>
      </c>
      <c r="C21" s="81"/>
      <c r="D21" s="13" t="s">
        <v>61</v>
      </c>
      <c r="E21" s="13" t="s">
        <v>40</v>
      </c>
      <c r="F21" s="13">
        <v>1</v>
      </c>
      <c r="G21" s="13"/>
      <c r="H21" s="22"/>
      <c r="I21" s="34"/>
      <c r="J21" s="31">
        <v>9740.85</v>
      </c>
      <c r="K21" s="15">
        <f>10909752/1.12/1000</f>
        <v>9740.85</v>
      </c>
      <c r="L21" s="15">
        <f>J21-K21</f>
        <v>0</v>
      </c>
      <c r="M21" s="22"/>
      <c r="N21" s="39">
        <v>9034.26</v>
      </c>
      <c r="O21" s="15">
        <f>J21-N21</f>
        <v>706.59000000000015</v>
      </c>
      <c r="P21" s="13"/>
      <c r="Q21" s="22"/>
      <c r="R21" s="21"/>
      <c r="S21" s="13"/>
      <c r="T21" s="13" t="s">
        <v>93</v>
      </c>
      <c r="U21" s="13" t="s">
        <v>93</v>
      </c>
      <c r="V21" s="84"/>
      <c r="W21" s="84"/>
      <c r="X21" s="78"/>
      <c r="Y21" s="75"/>
      <c r="Z21" s="34" t="s">
        <v>148</v>
      </c>
      <c r="AA21" s="34" t="s">
        <v>154</v>
      </c>
      <c r="AB21" s="49" t="s">
        <v>127</v>
      </c>
      <c r="AC21" s="50">
        <f>'[1]ИП 21_на 01.07.'!$BI$169/1.12</f>
        <v>9.7408500000000018</v>
      </c>
      <c r="AD21" s="50">
        <f>AC21*1000</f>
        <v>9740.8500000000022</v>
      </c>
      <c r="AE21" s="49" t="b">
        <f>J21=AD21</f>
        <v>1</v>
      </c>
    </row>
    <row r="22" spans="2:31" s="14" customFormat="1" ht="51.75" thickBot="1" x14ac:dyDescent="0.3">
      <c r="B22" s="29">
        <v>3</v>
      </c>
      <c r="C22" s="82"/>
      <c r="D22" s="24" t="s">
        <v>91</v>
      </c>
      <c r="E22" s="24" t="s">
        <v>42</v>
      </c>
      <c r="F22" s="24">
        <v>532</v>
      </c>
      <c r="G22" s="24"/>
      <c r="H22" s="26"/>
      <c r="I22" s="35"/>
      <c r="J22" s="32">
        <f>1481.628746728/1.12</f>
        <v>1322.8828095785711</v>
      </c>
      <c r="K22" s="25"/>
      <c r="L22" s="25">
        <f>J22-K22</f>
        <v>1322.8828095785711</v>
      </c>
      <c r="M22" s="26" t="s">
        <v>152</v>
      </c>
      <c r="N22" s="38"/>
      <c r="O22" s="25">
        <f>J22</f>
        <v>1322.8828095785711</v>
      </c>
      <c r="P22" s="24"/>
      <c r="Q22" s="26"/>
      <c r="R22" s="23"/>
      <c r="S22" s="24"/>
      <c r="T22" s="24" t="s">
        <v>93</v>
      </c>
      <c r="U22" s="24" t="s">
        <v>93</v>
      </c>
      <c r="V22" s="85"/>
      <c r="W22" s="85"/>
      <c r="X22" s="79"/>
      <c r="Y22" s="76"/>
      <c r="Z22" s="35" t="s">
        <v>152</v>
      </c>
      <c r="AA22" s="35" t="s">
        <v>154</v>
      </c>
      <c r="AB22" s="49" t="s">
        <v>128</v>
      </c>
      <c r="AC22" s="50">
        <f>'[1]ИП 21_на 01.07.'!$BI$168/1.12</f>
        <v>1.3228828095785714</v>
      </c>
      <c r="AD22" s="50">
        <f>AC22*1000</f>
        <v>1322.8828095785714</v>
      </c>
      <c r="AE22" s="49" t="b">
        <f>J22=AD22</f>
        <v>1</v>
      </c>
    </row>
    <row r="23" spans="2:31" s="14" customFormat="1" x14ac:dyDescent="0.25">
      <c r="AC23" s="45"/>
      <c r="AD23" s="45"/>
    </row>
    <row r="24" spans="2:31" s="14" customFormat="1" x14ac:dyDescent="0.25">
      <c r="AC24" s="45"/>
      <c r="AD24" s="45"/>
    </row>
    <row r="25" spans="2:31" s="14" customFormat="1" x14ac:dyDescent="0.25">
      <c r="AC25" s="45"/>
      <c r="AD25" s="45"/>
    </row>
    <row r="26" spans="2:31" s="14" customFormat="1" x14ac:dyDescent="0.25">
      <c r="AC26" s="45"/>
      <c r="AD26" s="45"/>
    </row>
    <row r="27" spans="2:31" s="14" customFormat="1" x14ac:dyDescent="0.25">
      <c r="AC27" s="45"/>
      <c r="AD27" s="45"/>
    </row>
    <row r="28" spans="2:31" s="14" customFormat="1" x14ac:dyDescent="0.25">
      <c r="AC28" s="45"/>
      <c r="AD28" s="45"/>
    </row>
    <row r="29" spans="2:31" s="14" customFormat="1" x14ac:dyDescent="0.25">
      <c r="AC29" s="45"/>
      <c r="AD29" s="45"/>
    </row>
    <row r="30" spans="2:31" s="14" customFormat="1" x14ac:dyDescent="0.25">
      <c r="AC30" s="45"/>
      <c r="AD30" s="45"/>
    </row>
    <row r="31" spans="2:31" s="14" customFormat="1" x14ac:dyDescent="0.25">
      <c r="AC31" s="45"/>
      <c r="AD31" s="45"/>
    </row>
    <row r="32" spans="2:31" s="14" customFormat="1" x14ac:dyDescent="0.25">
      <c r="AC32" s="45"/>
      <c r="AD32" s="45"/>
    </row>
    <row r="33" spans="29:30" s="14" customFormat="1" x14ac:dyDescent="0.25">
      <c r="AC33" s="45"/>
      <c r="AD33" s="45"/>
    </row>
    <row r="34" spans="29:30" s="14" customFormat="1" x14ac:dyDescent="0.25">
      <c r="AC34" s="45"/>
      <c r="AD34" s="45"/>
    </row>
    <row r="35" spans="29:30" s="14" customFormat="1" x14ac:dyDescent="0.25">
      <c r="AC35" s="45"/>
      <c r="AD35" s="45"/>
    </row>
    <row r="36" spans="29:30" s="14" customFormat="1" x14ac:dyDescent="0.25">
      <c r="AC36" s="45"/>
      <c r="AD36" s="45"/>
    </row>
    <row r="37" spans="29:30" s="14" customFormat="1" x14ac:dyDescent="0.25">
      <c r="AC37" s="45"/>
      <c r="AD37" s="45"/>
    </row>
    <row r="38" spans="29:30" s="14" customFormat="1" x14ac:dyDescent="0.25">
      <c r="AC38" s="45"/>
      <c r="AD38" s="45"/>
    </row>
    <row r="39" spans="29:30" s="14" customFormat="1" x14ac:dyDescent="0.25">
      <c r="AC39" s="45"/>
      <c r="AD39" s="45"/>
    </row>
    <row r="40" spans="29:30" s="14" customFormat="1" x14ac:dyDescent="0.25">
      <c r="AC40" s="45"/>
      <c r="AD40" s="45"/>
    </row>
    <row r="41" spans="29:30" s="14" customFormat="1" x14ac:dyDescent="0.25">
      <c r="AC41" s="45"/>
      <c r="AD41" s="45"/>
    </row>
    <row r="42" spans="29:30" s="14" customFormat="1" x14ac:dyDescent="0.25">
      <c r="AC42" s="45"/>
      <c r="AD42" s="45"/>
    </row>
    <row r="43" spans="29:30" s="14" customFormat="1" x14ac:dyDescent="0.25">
      <c r="AC43" s="45"/>
      <c r="AD43" s="45"/>
    </row>
    <row r="44" spans="29:30" s="14" customFormat="1" x14ac:dyDescent="0.25">
      <c r="AC44" s="45"/>
      <c r="AD44" s="45"/>
    </row>
    <row r="45" spans="29:30" s="14" customFormat="1" x14ac:dyDescent="0.25">
      <c r="AC45" s="45"/>
      <c r="AD45" s="45"/>
    </row>
    <row r="46" spans="29:30" s="14" customFormat="1" x14ac:dyDescent="0.25">
      <c r="AC46" s="45"/>
      <c r="AD46" s="45"/>
    </row>
    <row r="47" spans="29:30" s="14" customFormat="1" x14ac:dyDescent="0.25">
      <c r="AC47" s="45"/>
      <c r="AD47" s="45"/>
    </row>
    <row r="48" spans="29:30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</sheetData>
  <mergeCells count="34">
    <mergeCell ref="V20:V22"/>
    <mergeCell ref="W20:W22"/>
    <mergeCell ref="X20:X22"/>
    <mergeCell ref="Y20:Y22"/>
    <mergeCell ref="F16:F17"/>
    <mergeCell ref="G16:G17"/>
    <mergeCell ref="X15:Y16"/>
    <mergeCell ref="Q15:Q17"/>
    <mergeCell ref="R15:S16"/>
    <mergeCell ref="T15:U16"/>
    <mergeCell ref="V15:W16"/>
    <mergeCell ref="C19:C22"/>
    <mergeCell ref="N15:O16"/>
    <mergeCell ref="P15:P17"/>
    <mergeCell ref="J15:J17"/>
    <mergeCell ref="K15:K17"/>
    <mergeCell ref="L15:L17"/>
    <mergeCell ref="M15:M1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3"/>
  <sheetViews>
    <sheetView workbookViewId="0">
      <selection activeCell="B10" sqref="B10:AA10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1.7109375" style="9" customWidth="1"/>
    <col min="13" max="13" width="16.85546875" style="9" customWidth="1"/>
    <col min="14" max="14" width="12" style="9" customWidth="1"/>
    <col min="15" max="15" width="10" style="9" customWidth="1"/>
    <col min="16" max="17" width="9.140625" style="9"/>
    <col min="18" max="25" width="9.140625" style="9" customWidth="1"/>
    <col min="26" max="26" width="21.5703125" style="9" customWidth="1"/>
    <col min="27" max="27" width="31.140625" style="9" customWidth="1"/>
    <col min="28" max="28" width="11.28515625" style="9" customWidth="1"/>
    <col min="29" max="30" width="11.28515625" style="44" customWidth="1"/>
    <col min="31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K8" s="8" t="s">
        <v>35</v>
      </c>
      <c r="N8" s="8"/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62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N12" s="36"/>
      <c r="O12" s="36"/>
      <c r="AA12" s="10"/>
    </row>
    <row r="13" spans="2:27" ht="13.5" thickBot="1" x14ac:dyDescent="0.25">
      <c r="J13" s="47">
        <v>11021.81</v>
      </c>
      <c r="K13" s="48">
        <f>J19</f>
        <v>11021.428571428571</v>
      </c>
      <c r="L13" s="48">
        <f>J13-K13</f>
        <v>0.38142857142884168</v>
      </c>
      <c r="N13" s="36"/>
      <c r="O13" s="36"/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1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1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1" s="14" customFormat="1" x14ac:dyDescent="0.25">
      <c r="B19" s="27"/>
      <c r="C19" s="80" t="s">
        <v>102</v>
      </c>
      <c r="D19" s="17" t="s">
        <v>38</v>
      </c>
      <c r="E19" s="18"/>
      <c r="F19" s="18"/>
      <c r="G19" s="18"/>
      <c r="H19" s="20"/>
      <c r="I19" s="33"/>
      <c r="J19" s="30">
        <f>SUM(J20:J24)</f>
        <v>11021.428571428571</v>
      </c>
      <c r="K19" s="19">
        <f>SUM(K20:K24)</f>
        <v>3914.2991099999999</v>
      </c>
      <c r="L19" s="19">
        <f>SUM(L20:L24)</f>
        <v>7107.1294614285707</v>
      </c>
      <c r="M19" s="20"/>
      <c r="N19" s="40">
        <f>SUM(N20:N24)</f>
        <v>3268.7601935714288</v>
      </c>
      <c r="O19" s="19">
        <f>SUM(O20:O24)</f>
        <v>7752.6683778571423</v>
      </c>
      <c r="P19" s="18"/>
      <c r="Q19" s="20"/>
      <c r="R19" s="16"/>
      <c r="S19" s="18"/>
      <c r="T19" s="18"/>
      <c r="U19" s="18"/>
      <c r="V19" s="18"/>
      <c r="W19" s="18"/>
      <c r="X19" s="18"/>
      <c r="Y19" s="20"/>
      <c r="Z19" s="33"/>
      <c r="AA19" s="33"/>
      <c r="AC19" s="45"/>
      <c r="AD19" s="45"/>
    </row>
    <row r="20" spans="2:31" s="14" customFormat="1" ht="76.5" x14ac:dyDescent="0.25">
      <c r="B20" s="28">
        <v>1</v>
      </c>
      <c r="C20" s="81"/>
      <c r="D20" s="13" t="s">
        <v>63</v>
      </c>
      <c r="E20" s="13" t="s">
        <v>42</v>
      </c>
      <c r="F20" s="13">
        <v>2</v>
      </c>
      <c r="G20" s="13"/>
      <c r="H20" s="22"/>
      <c r="I20" s="34"/>
      <c r="J20" s="31">
        <f>1215.345817376/1.12</f>
        <v>1085.1301940857143</v>
      </c>
      <c r="K20" s="15">
        <f>1208.48/1.12</f>
        <v>1079</v>
      </c>
      <c r="L20" s="15">
        <f>J20-K20</f>
        <v>6.1301940857142654</v>
      </c>
      <c r="M20" s="22" t="s">
        <v>159</v>
      </c>
      <c r="N20" s="37">
        <f>J20</f>
        <v>1085.1301940857143</v>
      </c>
      <c r="O20" s="15"/>
      <c r="P20" s="13"/>
      <c r="Q20" s="22"/>
      <c r="R20" s="21"/>
      <c r="S20" s="13"/>
      <c r="T20" s="13" t="s">
        <v>93</v>
      </c>
      <c r="U20" s="13" t="s">
        <v>93</v>
      </c>
      <c r="V20" s="77" t="s">
        <v>94</v>
      </c>
      <c r="W20" s="77" t="s">
        <v>94</v>
      </c>
      <c r="X20" s="77">
        <v>16</v>
      </c>
      <c r="Y20" s="74">
        <v>1</v>
      </c>
      <c r="Z20" s="34" t="s">
        <v>149</v>
      </c>
      <c r="AA20" s="34" t="s">
        <v>154</v>
      </c>
      <c r="AB20" s="49" t="s">
        <v>121</v>
      </c>
      <c r="AC20" s="50">
        <v>1.0851301940857143</v>
      </c>
      <c r="AD20" s="50">
        <f>AC20*1000</f>
        <v>1085.1301940857143</v>
      </c>
      <c r="AE20" s="49" t="b">
        <f>J20=AD20</f>
        <v>1</v>
      </c>
    </row>
    <row r="21" spans="2:31" s="14" customFormat="1" ht="51" x14ac:dyDescent="0.25">
      <c r="B21" s="28">
        <v>2</v>
      </c>
      <c r="C21" s="81"/>
      <c r="D21" s="13" t="s">
        <v>64</v>
      </c>
      <c r="E21" s="13" t="s">
        <v>42</v>
      </c>
      <c r="F21" s="13">
        <v>1</v>
      </c>
      <c r="G21" s="13"/>
      <c r="H21" s="22"/>
      <c r="I21" s="34"/>
      <c r="J21" s="31">
        <f>416.416/1.12</f>
        <v>371.79999999999995</v>
      </c>
      <c r="K21" s="15">
        <f>416.416/1.12</f>
        <v>371.79999999999995</v>
      </c>
      <c r="L21" s="15">
        <f>J21-K21</f>
        <v>0</v>
      </c>
      <c r="M21" s="22"/>
      <c r="N21" s="37">
        <f>J21</f>
        <v>371.79999999999995</v>
      </c>
      <c r="O21" s="15"/>
      <c r="P21" s="13"/>
      <c r="Q21" s="22"/>
      <c r="R21" s="21"/>
      <c r="S21" s="13"/>
      <c r="T21" s="13" t="s">
        <v>93</v>
      </c>
      <c r="U21" s="13" t="s">
        <v>93</v>
      </c>
      <c r="V21" s="78"/>
      <c r="W21" s="78"/>
      <c r="X21" s="78"/>
      <c r="Y21" s="75"/>
      <c r="Z21" s="34" t="s">
        <v>150</v>
      </c>
      <c r="AA21" s="34" t="s">
        <v>154</v>
      </c>
      <c r="AB21" s="49" t="s">
        <v>122</v>
      </c>
      <c r="AC21" s="50">
        <v>0.37179999999999996</v>
      </c>
      <c r="AD21" s="50">
        <f>AC21*1000</f>
        <v>371.79999999999995</v>
      </c>
      <c r="AE21" s="49" t="b">
        <f>J21=AD21</f>
        <v>1</v>
      </c>
    </row>
    <row r="22" spans="2:31" s="14" customFormat="1" ht="51" x14ac:dyDescent="0.25">
      <c r="B22" s="28">
        <v>3</v>
      </c>
      <c r="C22" s="81"/>
      <c r="D22" s="13" t="s">
        <v>65</v>
      </c>
      <c r="E22" s="13" t="s">
        <v>40</v>
      </c>
      <c r="F22" s="13">
        <v>1</v>
      </c>
      <c r="G22" s="13"/>
      <c r="H22" s="22"/>
      <c r="I22" s="34"/>
      <c r="J22" s="31">
        <f>7405.785/1.12</f>
        <v>6612.3080357142853</v>
      </c>
      <c r="K22" s="15"/>
      <c r="L22" s="15">
        <f>J22-K22</f>
        <v>6612.3080357142853</v>
      </c>
      <c r="M22" s="22" t="s">
        <v>152</v>
      </c>
      <c r="N22" s="37"/>
      <c r="O22" s="15">
        <f>J22</f>
        <v>6612.3080357142853</v>
      </c>
      <c r="P22" s="13"/>
      <c r="Q22" s="22"/>
      <c r="R22" s="21"/>
      <c r="S22" s="13"/>
      <c r="T22" s="13" t="s">
        <v>93</v>
      </c>
      <c r="U22" s="13" t="s">
        <v>93</v>
      </c>
      <c r="V22" s="78"/>
      <c r="W22" s="78"/>
      <c r="X22" s="78"/>
      <c r="Y22" s="75"/>
      <c r="Z22" s="34" t="s">
        <v>152</v>
      </c>
      <c r="AA22" s="34" t="s">
        <v>154</v>
      </c>
      <c r="AB22" s="49" t="s">
        <v>123</v>
      </c>
      <c r="AC22" s="50">
        <v>6.6123080357142854</v>
      </c>
      <c r="AD22" s="50">
        <f>AC22*1000</f>
        <v>6612.3080357142853</v>
      </c>
      <c r="AE22" s="49" t="b">
        <f>J22=AD22</f>
        <v>1</v>
      </c>
    </row>
    <row r="23" spans="2:31" s="14" customFormat="1" ht="51" x14ac:dyDescent="0.25">
      <c r="B23" s="28">
        <v>4</v>
      </c>
      <c r="C23" s="81"/>
      <c r="D23" s="13" t="s">
        <v>66</v>
      </c>
      <c r="E23" s="13" t="s">
        <v>40</v>
      </c>
      <c r="F23" s="13">
        <v>1</v>
      </c>
      <c r="G23" s="13"/>
      <c r="H23" s="22"/>
      <c r="I23" s="34"/>
      <c r="J23" s="31">
        <v>2463.4991100000002</v>
      </c>
      <c r="K23" s="15">
        <f>2759119.0032/1.12/1000</f>
        <v>2463.4991099999997</v>
      </c>
      <c r="L23" s="15">
        <f>J23-K23</f>
        <v>0</v>
      </c>
      <c r="M23" s="22"/>
      <c r="N23" s="37">
        <v>1323.1387678571432</v>
      </c>
      <c r="O23" s="15">
        <f>J23-N23</f>
        <v>1140.360342142857</v>
      </c>
      <c r="P23" s="13"/>
      <c r="Q23" s="22"/>
      <c r="R23" s="21"/>
      <c r="S23" s="13"/>
      <c r="T23" s="13" t="s">
        <v>93</v>
      </c>
      <c r="U23" s="13" t="s">
        <v>93</v>
      </c>
      <c r="V23" s="78"/>
      <c r="W23" s="78"/>
      <c r="X23" s="78"/>
      <c r="Y23" s="75"/>
      <c r="Z23" s="34" t="s">
        <v>148</v>
      </c>
      <c r="AA23" s="34" t="s">
        <v>154</v>
      </c>
      <c r="AB23" s="49" t="s">
        <v>124</v>
      </c>
      <c r="AC23" s="50">
        <v>2.4634991099999994</v>
      </c>
      <c r="AD23" s="50">
        <f>AC23*1000</f>
        <v>2463.4991099999993</v>
      </c>
      <c r="AE23" s="49" t="b">
        <f>J23=AD23</f>
        <v>1</v>
      </c>
    </row>
    <row r="24" spans="2:31" s="14" customFormat="1" ht="51.75" thickBot="1" x14ac:dyDescent="0.3">
      <c r="B24" s="29">
        <v>5</v>
      </c>
      <c r="C24" s="82"/>
      <c r="D24" s="58" t="s">
        <v>92</v>
      </c>
      <c r="E24" s="24" t="s">
        <v>42</v>
      </c>
      <c r="F24" s="24">
        <v>12</v>
      </c>
      <c r="G24" s="24"/>
      <c r="H24" s="26"/>
      <c r="I24" s="35"/>
      <c r="J24" s="32">
        <v>488.69123162857102</v>
      </c>
      <c r="K24" s="25"/>
      <c r="L24" s="25">
        <f>J24-K24</f>
        <v>488.69123162857102</v>
      </c>
      <c r="M24" s="26" t="s">
        <v>152</v>
      </c>
      <c r="N24" s="41">
        <f>J24</f>
        <v>488.69123162857102</v>
      </c>
      <c r="O24" s="25"/>
      <c r="P24" s="24"/>
      <c r="Q24" s="26"/>
      <c r="R24" s="23"/>
      <c r="S24" s="24"/>
      <c r="T24" s="24" t="s">
        <v>93</v>
      </c>
      <c r="U24" s="24" t="s">
        <v>93</v>
      </c>
      <c r="V24" s="79"/>
      <c r="W24" s="79"/>
      <c r="X24" s="79"/>
      <c r="Y24" s="76"/>
      <c r="Z24" s="35" t="s">
        <v>152</v>
      </c>
      <c r="AA24" s="35" t="s">
        <v>154</v>
      </c>
      <c r="AB24" s="49" t="s">
        <v>125</v>
      </c>
      <c r="AC24" s="50">
        <v>0.48869123162857098</v>
      </c>
      <c r="AD24" s="50">
        <f>AC24*1000</f>
        <v>488.69123162857096</v>
      </c>
      <c r="AE24" s="49" t="b">
        <f>J24=AD24</f>
        <v>1</v>
      </c>
    </row>
    <row r="25" spans="2:31" s="14" customFormat="1" x14ac:dyDescent="0.25">
      <c r="AC25" s="45"/>
      <c r="AD25" s="45"/>
    </row>
    <row r="26" spans="2:31" s="14" customFormat="1" x14ac:dyDescent="0.25">
      <c r="AC26" s="45"/>
      <c r="AD26" s="45"/>
    </row>
    <row r="27" spans="2:31" s="14" customFormat="1" x14ac:dyDescent="0.25">
      <c r="AC27" s="45"/>
      <c r="AD27" s="45"/>
    </row>
    <row r="28" spans="2:31" s="14" customFormat="1" x14ac:dyDescent="0.25">
      <c r="AC28" s="45"/>
      <c r="AD28" s="45"/>
    </row>
    <row r="29" spans="2:31" s="14" customFormat="1" x14ac:dyDescent="0.25">
      <c r="AC29" s="45"/>
      <c r="AD29" s="45"/>
    </row>
    <row r="30" spans="2:31" s="14" customFormat="1" x14ac:dyDescent="0.25">
      <c r="AC30" s="45"/>
      <c r="AD30" s="45"/>
    </row>
    <row r="31" spans="2:31" s="14" customFormat="1" x14ac:dyDescent="0.25">
      <c r="AC31" s="45"/>
      <c r="AD31" s="45"/>
    </row>
    <row r="32" spans="2:31" s="14" customFormat="1" x14ac:dyDescent="0.25">
      <c r="AC32" s="45"/>
      <c r="AD32" s="45"/>
    </row>
    <row r="33" spans="29:30" s="14" customFormat="1" x14ac:dyDescent="0.25">
      <c r="AC33" s="45"/>
      <c r="AD33" s="45"/>
    </row>
    <row r="34" spans="29:30" s="14" customFormat="1" x14ac:dyDescent="0.25">
      <c r="AC34" s="45"/>
      <c r="AD34" s="45"/>
    </row>
    <row r="35" spans="29:30" s="14" customFormat="1" x14ac:dyDescent="0.25">
      <c r="AC35" s="45"/>
      <c r="AD35" s="45"/>
    </row>
    <row r="36" spans="29:30" s="14" customFormat="1" x14ac:dyDescent="0.25">
      <c r="AC36" s="45"/>
      <c r="AD36" s="45"/>
    </row>
    <row r="37" spans="29:30" s="14" customFormat="1" x14ac:dyDescent="0.25">
      <c r="AC37" s="45"/>
      <c r="AD37" s="45"/>
    </row>
    <row r="38" spans="29:30" s="14" customFormat="1" x14ac:dyDescent="0.25">
      <c r="AC38" s="45"/>
      <c r="AD38" s="45"/>
    </row>
    <row r="39" spans="29:30" s="14" customFormat="1" x14ac:dyDescent="0.25">
      <c r="AC39" s="45"/>
      <c r="AD39" s="45"/>
    </row>
    <row r="40" spans="29:30" s="14" customFormat="1" x14ac:dyDescent="0.25">
      <c r="AC40" s="45"/>
      <c r="AD40" s="45"/>
    </row>
    <row r="41" spans="29:30" s="14" customFormat="1" x14ac:dyDescent="0.25">
      <c r="AC41" s="45"/>
      <c r="AD41" s="45"/>
    </row>
    <row r="42" spans="29:30" s="14" customFormat="1" x14ac:dyDescent="0.25">
      <c r="AC42" s="45"/>
      <c r="AD42" s="45"/>
    </row>
    <row r="43" spans="29:30" s="14" customFormat="1" x14ac:dyDescent="0.25">
      <c r="AC43" s="45"/>
      <c r="AD43" s="45"/>
    </row>
    <row r="44" spans="29:30" s="14" customFormat="1" x14ac:dyDescent="0.25">
      <c r="AC44" s="45"/>
      <c r="AD44" s="45"/>
    </row>
    <row r="45" spans="29:30" s="14" customFormat="1" x14ac:dyDescent="0.25">
      <c r="AC45" s="45"/>
      <c r="AD45" s="45"/>
    </row>
    <row r="46" spans="29:30" s="14" customFormat="1" x14ac:dyDescent="0.25">
      <c r="AC46" s="45"/>
      <c r="AD46" s="45"/>
    </row>
    <row r="47" spans="29:30" s="14" customFormat="1" x14ac:dyDescent="0.25">
      <c r="AC47" s="45"/>
      <c r="AD47" s="45"/>
    </row>
    <row r="48" spans="29:30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  <row r="172" spans="29:30" s="14" customFormat="1" x14ac:dyDescent="0.25">
      <c r="AC172" s="45"/>
      <c r="AD172" s="45"/>
    </row>
    <row r="173" spans="29:30" s="14" customFormat="1" x14ac:dyDescent="0.25">
      <c r="AC173" s="45"/>
      <c r="AD173" s="45"/>
    </row>
  </sheetData>
  <mergeCells count="34">
    <mergeCell ref="V20:V24"/>
    <mergeCell ref="W20:W24"/>
    <mergeCell ref="X20:X24"/>
    <mergeCell ref="Y20:Y24"/>
    <mergeCell ref="F16:F17"/>
    <mergeCell ref="G16:G17"/>
    <mergeCell ref="X15:Y16"/>
    <mergeCell ref="Q15:Q17"/>
    <mergeCell ref="R15:S16"/>
    <mergeCell ref="T15:U16"/>
    <mergeCell ref="V15:W16"/>
    <mergeCell ref="C19:C24"/>
    <mergeCell ref="N15:O16"/>
    <mergeCell ref="P15:P17"/>
    <mergeCell ref="J15:J17"/>
    <mergeCell ref="K15:K17"/>
    <mergeCell ref="L15:L17"/>
    <mergeCell ref="M15:M1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3"/>
  <sheetViews>
    <sheetView zoomScale="89" zoomScaleNormal="89" workbookViewId="0">
      <selection activeCell="B9" sqref="B9:AA9"/>
    </sheetView>
  </sheetViews>
  <sheetFormatPr defaultRowHeight="12.75" x14ac:dyDescent="0.2"/>
  <cols>
    <col min="1" max="2" width="9.140625" style="9"/>
    <col min="3" max="3" width="19.85546875" style="9" customWidth="1"/>
    <col min="4" max="4" width="44.140625" style="9" customWidth="1"/>
    <col min="5" max="9" width="9.140625" style="9"/>
    <col min="10" max="10" width="13.28515625" style="9" customWidth="1"/>
    <col min="11" max="11" width="13.85546875" style="9" customWidth="1"/>
    <col min="12" max="12" width="11.7109375" style="9" customWidth="1"/>
    <col min="13" max="13" width="18.42578125" style="9" customWidth="1"/>
    <col min="14" max="14" width="12.42578125" style="9" customWidth="1"/>
    <col min="15" max="15" width="11.42578125" style="9" customWidth="1"/>
    <col min="16" max="16" width="9.140625" style="9"/>
    <col min="17" max="17" width="9.7109375" style="9" customWidth="1"/>
    <col min="18" max="18" width="9.28515625" style="9" bestFit="1" customWidth="1"/>
    <col min="19" max="19" width="8.85546875" style="9" bestFit="1" customWidth="1"/>
    <col min="20" max="20" width="9.28515625" style="9" bestFit="1" customWidth="1"/>
    <col min="21" max="21" width="8.85546875" style="9" bestFit="1" customWidth="1"/>
    <col min="22" max="23" width="10.28515625" style="9" bestFit="1" customWidth="1"/>
    <col min="24" max="24" width="9.28515625" style="9" bestFit="1" customWidth="1"/>
    <col min="25" max="25" width="8.85546875" style="9" bestFit="1" customWidth="1"/>
    <col min="26" max="26" width="29.28515625" style="9" customWidth="1"/>
    <col min="27" max="27" width="24" style="9" bestFit="1" customWidth="1"/>
    <col min="28" max="28" width="20.140625" style="9" customWidth="1"/>
    <col min="29" max="30" width="20.140625" style="44" customWidth="1"/>
    <col min="31" max="31" width="20.140625" style="9" customWidth="1"/>
    <col min="32" max="32" width="16.28515625" style="9" customWidth="1"/>
    <col min="33" max="33" width="21.85546875" style="9" customWidth="1"/>
    <col min="34" max="16384" width="9.140625" style="9"/>
  </cols>
  <sheetData>
    <row r="1" spans="2:27" x14ac:dyDescent="0.2">
      <c r="Z1" s="7"/>
      <c r="AA1" s="10" t="s">
        <v>30</v>
      </c>
    </row>
    <row r="2" spans="2:27" x14ac:dyDescent="0.2">
      <c r="AA2" s="11" t="s">
        <v>31</v>
      </c>
    </row>
    <row r="3" spans="2:27" x14ac:dyDescent="0.2">
      <c r="AA3" s="12" t="s">
        <v>32</v>
      </c>
    </row>
    <row r="4" spans="2:27" x14ac:dyDescent="0.2">
      <c r="AA4" s="10" t="s">
        <v>33</v>
      </c>
    </row>
    <row r="6" spans="2:27" x14ac:dyDescent="0.2">
      <c r="AA6" s="10" t="s">
        <v>34</v>
      </c>
    </row>
    <row r="7" spans="2:27" x14ac:dyDescent="0.2">
      <c r="AA7" s="10"/>
    </row>
    <row r="8" spans="2:27" x14ac:dyDescent="0.2">
      <c r="N8" s="8" t="s">
        <v>35</v>
      </c>
      <c r="AA8" s="10"/>
    </row>
    <row r="9" spans="2:27" x14ac:dyDescent="0.2"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2:27" x14ac:dyDescent="0.2">
      <c r="B10" s="70" t="s">
        <v>67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27" x14ac:dyDescent="0.2">
      <c r="B11" s="69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2:27" x14ac:dyDescent="0.2">
      <c r="N12" s="36"/>
      <c r="AA12" s="10"/>
    </row>
    <row r="13" spans="2:27" ht="13.5" thickBot="1" x14ac:dyDescent="0.25">
      <c r="J13" s="47">
        <v>273698.77799999999</v>
      </c>
      <c r="K13" s="48">
        <f>J13-J19</f>
        <v>-1.0641092005535029</v>
      </c>
      <c r="N13" s="36"/>
      <c r="O13" s="36"/>
    </row>
    <row r="14" spans="2:27" ht="75.75" customHeight="1" thickBot="1" x14ac:dyDescent="0.25">
      <c r="B14" s="65" t="s">
        <v>0</v>
      </c>
      <c r="C14" s="61" t="s">
        <v>1</v>
      </c>
      <c r="D14" s="59"/>
      <c r="E14" s="59"/>
      <c r="F14" s="59"/>
      <c r="G14" s="59"/>
      <c r="H14" s="60"/>
      <c r="I14" s="62" t="s">
        <v>2</v>
      </c>
      <c r="J14" s="59" t="s">
        <v>3</v>
      </c>
      <c r="K14" s="59"/>
      <c r="L14" s="59"/>
      <c r="M14" s="60"/>
      <c r="N14" s="61" t="s">
        <v>15</v>
      </c>
      <c r="O14" s="59"/>
      <c r="P14" s="59"/>
      <c r="Q14" s="60"/>
      <c r="R14" s="61" t="s">
        <v>16</v>
      </c>
      <c r="S14" s="59"/>
      <c r="T14" s="59"/>
      <c r="U14" s="59"/>
      <c r="V14" s="59"/>
      <c r="W14" s="59"/>
      <c r="X14" s="59"/>
      <c r="Y14" s="60"/>
      <c r="Z14" s="62" t="s">
        <v>17</v>
      </c>
      <c r="AA14" s="62" t="s">
        <v>18</v>
      </c>
    </row>
    <row r="15" spans="2:27" ht="99" customHeight="1" thickBot="1" x14ac:dyDescent="0.25">
      <c r="B15" s="72"/>
      <c r="C15" s="62" t="s">
        <v>4</v>
      </c>
      <c r="D15" s="62" t="s">
        <v>5</v>
      </c>
      <c r="E15" s="62" t="s">
        <v>6</v>
      </c>
      <c r="F15" s="61" t="s">
        <v>7</v>
      </c>
      <c r="G15" s="60"/>
      <c r="H15" s="62" t="s">
        <v>8</v>
      </c>
      <c r="I15" s="63"/>
      <c r="J15" s="66" t="s">
        <v>9</v>
      </c>
      <c r="K15" s="62" t="s">
        <v>10</v>
      </c>
      <c r="L15" s="62" t="s">
        <v>11</v>
      </c>
      <c r="M15" s="62" t="s">
        <v>12</v>
      </c>
      <c r="N15" s="65" t="s">
        <v>19</v>
      </c>
      <c r="O15" s="66"/>
      <c r="P15" s="62" t="s">
        <v>20</v>
      </c>
      <c r="Q15" s="62" t="s">
        <v>21</v>
      </c>
      <c r="R15" s="65" t="s">
        <v>22</v>
      </c>
      <c r="S15" s="66"/>
      <c r="T15" s="65" t="s">
        <v>23</v>
      </c>
      <c r="U15" s="66"/>
      <c r="V15" s="65" t="s">
        <v>24</v>
      </c>
      <c r="W15" s="66"/>
      <c r="X15" s="65" t="s">
        <v>25</v>
      </c>
      <c r="Y15" s="66"/>
      <c r="Z15" s="63"/>
      <c r="AA15" s="63"/>
    </row>
    <row r="16" spans="2:27" ht="15.75" customHeight="1" thickBot="1" x14ac:dyDescent="0.25">
      <c r="B16" s="72"/>
      <c r="C16" s="63"/>
      <c r="D16" s="63"/>
      <c r="E16" s="63"/>
      <c r="F16" s="62" t="s">
        <v>13</v>
      </c>
      <c r="G16" s="62" t="s">
        <v>14</v>
      </c>
      <c r="H16" s="63"/>
      <c r="I16" s="63"/>
      <c r="J16" s="73"/>
      <c r="K16" s="63"/>
      <c r="L16" s="63"/>
      <c r="M16" s="63"/>
      <c r="N16" s="67"/>
      <c r="O16" s="68"/>
      <c r="P16" s="63"/>
      <c r="Q16" s="63"/>
      <c r="R16" s="67"/>
      <c r="S16" s="68"/>
      <c r="T16" s="67"/>
      <c r="U16" s="68"/>
      <c r="V16" s="67"/>
      <c r="W16" s="68"/>
      <c r="X16" s="67"/>
      <c r="Y16" s="68"/>
      <c r="Z16" s="63"/>
      <c r="AA16" s="63"/>
    </row>
    <row r="17" spans="2:34" ht="39" thickBot="1" x14ac:dyDescent="0.25">
      <c r="B17" s="67"/>
      <c r="C17" s="64"/>
      <c r="D17" s="64"/>
      <c r="E17" s="64"/>
      <c r="F17" s="64"/>
      <c r="G17" s="64"/>
      <c r="H17" s="64"/>
      <c r="I17" s="64"/>
      <c r="J17" s="68"/>
      <c r="K17" s="64"/>
      <c r="L17" s="64"/>
      <c r="M17" s="64"/>
      <c r="N17" s="3" t="s">
        <v>26</v>
      </c>
      <c r="O17" s="3" t="s">
        <v>27</v>
      </c>
      <c r="P17" s="64"/>
      <c r="Q17" s="64"/>
      <c r="R17" s="2" t="s">
        <v>28</v>
      </c>
      <c r="S17" s="1" t="s">
        <v>29</v>
      </c>
      <c r="T17" s="1" t="s">
        <v>28</v>
      </c>
      <c r="U17" s="1" t="s">
        <v>29</v>
      </c>
      <c r="V17" s="1" t="s">
        <v>13</v>
      </c>
      <c r="W17" s="1" t="s">
        <v>14</v>
      </c>
      <c r="X17" s="1" t="s">
        <v>28</v>
      </c>
      <c r="Y17" s="1" t="s">
        <v>29</v>
      </c>
      <c r="Z17" s="64"/>
      <c r="AA17" s="64"/>
    </row>
    <row r="18" spans="2:34" ht="13.5" thickBot="1" x14ac:dyDescent="0.25">
      <c r="B18" s="4">
        <v>1</v>
      </c>
      <c r="C18" s="6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6">
        <v>8</v>
      </c>
      <c r="J18" s="5">
        <v>9</v>
      </c>
      <c r="K18" s="5">
        <v>10</v>
      </c>
      <c r="L18" s="5">
        <v>11</v>
      </c>
      <c r="M18" s="5">
        <v>12</v>
      </c>
      <c r="N18" s="6">
        <v>13</v>
      </c>
      <c r="O18" s="5">
        <v>14</v>
      </c>
      <c r="P18" s="5">
        <v>15</v>
      </c>
      <c r="Q18" s="5">
        <v>16</v>
      </c>
      <c r="R18" s="6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6">
        <v>25</v>
      </c>
      <c r="AA18" s="6">
        <v>26</v>
      </c>
    </row>
    <row r="19" spans="2:34" s="14" customFormat="1" x14ac:dyDescent="0.25">
      <c r="B19" s="27"/>
      <c r="C19" s="80" t="s">
        <v>103</v>
      </c>
      <c r="D19" s="17" t="s">
        <v>38</v>
      </c>
      <c r="E19" s="18"/>
      <c r="F19" s="18"/>
      <c r="G19" s="18"/>
      <c r="H19" s="20"/>
      <c r="I19" s="33"/>
      <c r="J19" s="30">
        <f>SUM(J20:J34)</f>
        <v>273699.84210920054</v>
      </c>
      <c r="K19" s="19">
        <f>SUM(K20:K34)</f>
        <v>210008.96868749999</v>
      </c>
      <c r="L19" s="19">
        <f>SUM(L20:L34)</f>
        <v>63690.873421700533</v>
      </c>
      <c r="M19" s="20"/>
      <c r="N19" s="40">
        <f>SUM(N20:N34)</f>
        <v>130761.89014247882</v>
      </c>
      <c r="O19" s="19">
        <f>SUM(O20:O34)</f>
        <v>142937.95196672168</v>
      </c>
      <c r="P19" s="17" t="s">
        <v>93</v>
      </c>
      <c r="Q19" s="42" t="s">
        <v>93</v>
      </c>
      <c r="R19" s="16"/>
      <c r="S19" s="18"/>
      <c r="T19" s="18"/>
      <c r="U19" s="18"/>
      <c r="V19" s="18"/>
      <c r="W19" s="18"/>
      <c r="X19" s="18"/>
      <c r="Y19" s="20"/>
      <c r="Z19" s="33"/>
      <c r="AA19" s="33"/>
      <c r="AC19" s="45"/>
      <c r="AD19" s="45"/>
    </row>
    <row r="20" spans="2:34" s="14" customFormat="1" ht="63.75" x14ac:dyDescent="0.25">
      <c r="B20" s="28">
        <v>1</v>
      </c>
      <c r="C20" s="81"/>
      <c r="D20" s="13" t="s">
        <v>68</v>
      </c>
      <c r="E20" s="13" t="s">
        <v>40</v>
      </c>
      <c r="F20" s="13">
        <v>1</v>
      </c>
      <c r="G20" s="13"/>
      <c r="H20" s="22"/>
      <c r="I20" s="34"/>
      <c r="J20" s="31">
        <f>4462593.05/1.12/1000</f>
        <v>3984.4580803571421</v>
      </c>
      <c r="K20" s="15">
        <f>4462593.05/1.12/1000</f>
        <v>3984.4580803571421</v>
      </c>
      <c r="L20" s="15">
        <f>J20-K20</f>
        <v>0</v>
      </c>
      <c r="M20" s="22"/>
      <c r="N20" s="37" t="s">
        <v>93</v>
      </c>
      <c r="O20" s="15">
        <f>J20</f>
        <v>3984.4580803571421</v>
      </c>
      <c r="P20" s="13" t="s">
        <v>93</v>
      </c>
      <c r="Q20" s="22" t="s">
        <v>93</v>
      </c>
      <c r="R20" s="21"/>
      <c r="S20" s="13"/>
      <c r="T20" s="13" t="s">
        <v>93</v>
      </c>
      <c r="U20" s="13" t="s">
        <v>93</v>
      </c>
      <c r="V20" s="77" t="s">
        <v>94</v>
      </c>
      <c r="W20" s="77" t="s">
        <v>94</v>
      </c>
      <c r="X20" s="77">
        <v>5</v>
      </c>
      <c r="Y20" s="74">
        <v>1</v>
      </c>
      <c r="Z20" s="34" t="s">
        <v>148</v>
      </c>
      <c r="AA20" s="34" t="s">
        <v>154</v>
      </c>
      <c r="AB20" s="56" t="s">
        <v>134</v>
      </c>
      <c r="AC20" s="55">
        <f>'[1]ИП 21_на 01.07.'!$BI$186/1.12</f>
        <v>3.9844580803571423</v>
      </c>
      <c r="AD20" s="55">
        <f>AC20*1000</f>
        <v>3984.4580803571425</v>
      </c>
      <c r="AE20" s="54" t="b">
        <f>AD20=J20</f>
        <v>1</v>
      </c>
      <c r="AF20" s="54"/>
      <c r="AG20" s="54"/>
      <c r="AH20" s="54"/>
    </row>
    <row r="21" spans="2:34" s="14" customFormat="1" ht="63.75" x14ac:dyDescent="0.25">
      <c r="B21" s="28">
        <v>2</v>
      </c>
      <c r="C21" s="81"/>
      <c r="D21" s="13" t="s">
        <v>69</v>
      </c>
      <c r="E21" s="13" t="s">
        <v>40</v>
      </c>
      <c r="F21" s="13">
        <v>1</v>
      </c>
      <c r="G21" s="13"/>
      <c r="H21" s="22"/>
      <c r="I21" s="34"/>
      <c r="J21" s="31">
        <f>18363029.0043614/1.12/1000</f>
        <v>16395.561611036963</v>
      </c>
      <c r="K21" s="15">
        <f>(13659.52+4703.509)/1.12</f>
        <v>16395.561607142856</v>
      </c>
      <c r="L21" s="15">
        <f>J21-K21</f>
        <v>3.8941070670261979E-6</v>
      </c>
      <c r="M21" s="22"/>
      <c r="N21" s="37">
        <f>J21</f>
        <v>16395.561611036963</v>
      </c>
      <c r="O21" s="15" t="s">
        <v>93</v>
      </c>
      <c r="P21" s="13" t="s">
        <v>93</v>
      </c>
      <c r="Q21" s="22" t="s">
        <v>93</v>
      </c>
      <c r="R21" s="21"/>
      <c r="S21" s="13"/>
      <c r="T21" s="13" t="s">
        <v>93</v>
      </c>
      <c r="U21" s="13" t="s">
        <v>93</v>
      </c>
      <c r="V21" s="78"/>
      <c r="W21" s="78"/>
      <c r="X21" s="78"/>
      <c r="Y21" s="75"/>
      <c r="Z21" s="34" t="s">
        <v>148</v>
      </c>
      <c r="AA21" s="34" t="s">
        <v>154</v>
      </c>
      <c r="AB21" s="54" t="s">
        <v>135</v>
      </c>
      <c r="AC21" s="55">
        <v>16.395561611036999</v>
      </c>
      <c r="AD21" s="55">
        <f t="shared" ref="AD21:AD34" si="0">AC21*1000</f>
        <v>16395.561611036999</v>
      </c>
      <c r="AE21" s="54" t="b">
        <f t="shared" ref="AE21:AE34" si="1">AD21=J21</f>
        <v>1</v>
      </c>
      <c r="AF21" s="54"/>
      <c r="AG21" s="54"/>
      <c r="AH21" s="54"/>
    </row>
    <row r="22" spans="2:34" s="14" customFormat="1" ht="63.75" x14ac:dyDescent="0.25">
      <c r="B22" s="28"/>
      <c r="C22" s="81"/>
      <c r="D22" s="13" t="s">
        <v>70</v>
      </c>
      <c r="E22" s="13" t="s">
        <v>42</v>
      </c>
      <c r="F22" s="13">
        <v>2</v>
      </c>
      <c r="G22" s="13"/>
      <c r="H22" s="22"/>
      <c r="I22" s="34"/>
      <c r="J22" s="31">
        <f>3136000/1.12/1000</f>
        <v>2799.9999999999995</v>
      </c>
      <c r="K22" s="15">
        <f>3136/1.12</f>
        <v>2799.9999999999995</v>
      </c>
      <c r="L22" s="15">
        <f t="shared" ref="L22:L33" si="2">J22-K22</f>
        <v>0</v>
      </c>
      <c r="M22" s="22"/>
      <c r="N22" s="37">
        <f>J22</f>
        <v>2799.9999999999995</v>
      </c>
      <c r="O22" s="15" t="s">
        <v>93</v>
      </c>
      <c r="P22" s="13" t="s">
        <v>93</v>
      </c>
      <c r="Q22" s="22" t="s">
        <v>93</v>
      </c>
      <c r="R22" s="21"/>
      <c r="S22" s="13"/>
      <c r="T22" s="13" t="s">
        <v>93</v>
      </c>
      <c r="U22" s="13" t="s">
        <v>93</v>
      </c>
      <c r="V22" s="78"/>
      <c r="W22" s="78"/>
      <c r="X22" s="78"/>
      <c r="Y22" s="75"/>
      <c r="Z22" s="34" t="s">
        <v>150</v>
      </c>
      <c r="AA22" s="34" t="s">
        <v>154</v>
      </c>
      <c r="AB22" s="54" t="s">
        <v>136</v>
      </c>
      <c r="AC22" s="55">
        <f>'[1]ИП 21_на 01.07.'!$BI$187/1.12</f>
        <v>2.8</v>
      </c>
      <c r="AD22" s="55">
        <f t="shared" si="0"/>
        <v>2800</v>
      </c>
      <c r="AE22" s="54" t="b">
        <f t="shared" si="1"/>
        <v>1</v>
      </c>
      <c r="AF22" s="54"/>
      <c r="AG22" s="54"/>
      <c r="AH22" s="54"/>
    </row>
    <row r="23" spans="2:34" s="14" customFormat="1" ht="63.75" x14ac:dyDescent="0.25">
      <c r="B23" s="28"/>
      <c r="C23" s="81"/>
      <c r="D23" s="13" t="s">
        <v>71</v>
      </c>
      <c r="E23" s="13" t="s">
        <v>42</v>
      </c>
      <c r="F23" s="13" t="s">
        <v>74</v>
      </c>
      <c r="G23" s="13"/>
      <c r="H23" s="22"/>
      <c r="I23" s="34"/>
      <c r="J23" s="31">
        <f>34059200/1.12/1000</f>
        <v>30409.999999999996</v>
      </c>
      <c r="K23" s="15">
        <f>34059.2/1.12</f>
        <v>30409.999999999993</v>
      </c>
      <c r="L23" s="15">
        <f t="shared" si="2"/>
        <v>0</v>
      </c>
      <c r="M23" s="22"/>
      <c r="N23" s="37">
        <f t="shared" ref="N23:N33" si="3">J23</f>
        <v>30409.999999999996</v>
      </c>
      <c r="O23" s="15" t="s">
        <v>93</v>
      </c>
      <c r="P23" s="13" t="s">
        <v>93</v>
      </c>
      <c r="Q23" s="22" t="s">
        <v>93</v>
      </c>
      <c r="R23" s="21"/>
      <c r="S23" s="13"/>
      <c r="T23" s="13" t="s">
        <v>93</v>
      </c>
      <c r="U23" s="13" t="s">
        <v>93</v>
      </c>
      <c r="V23" s="78"/>
      <c r="W23" s="78"/>
      <c r="X23" s="78"/>
      <c r="Y23" s="75"/>
      <c r="Z23" s="34" t="s">
        <v>150</v>
      </c>
      <c r="AA23" s="34" t="s">
        <v>154</v>
      </c>
      <c r="AB23" s="54" t="s">
        <v>137</v>
      </c>
      <c r="AC23" s="55">
        <f>'[1]ИП 21_на 01.07.'!$BI$188/1.12</f>
        <v>30.410000000000007</v>
      </c>
      <c r="AD23" s="55">
        <f t="shared" si="0"/>
        <v>30410.000000000007</v>
      </c>
      <c r="AE23" s="54" t="b">
        <f t="shared" si="1"/>
        <v>1</v>
      </c>
      <c r="AF23" s="54"/>
      <c r="AG23" s="54"/>
      <c r="AH23" s="54"/>
    </row>
    <row r="24" spans="2:34" s="14" customFormat="1" ht="63.75" x14ac:dyDescent="0.25">
      <c r="B24" s="28"/>
      <c r="C24" s="81"/>
      <c r="D24" s="13" t="s">
        <v>72</v>
      </c>
      <c r="E24" s="13" t="s">
        <v>42</v>
      </c>
      <c r="F24" s="13" t="s">
        <v>74</v>
      </c>
      <c r="G24" s="13"/>
      <c r="H24" s="22"/>
      <c r="I24" s="34"/>
      <c r="J24" s="31">
        <f>18928000/1.12/1000</f>
        <v>16900</v>
      </c>
      <c r="K24" s="31">
        <f>18928/1.12</f>
        <v>16900</v>
      </c>
      <c r="L24" s="15">
        <f t="shared" si="2"/>
        <v>0</v>
      </c>
      <c r="M24" s="22"/>
      <c r="N24" s="37">
        <f t="shared" si="3"/>
        <v>16900</v>
      </c>
      <c r="O24" s="15" t="s">
        <v>93</v>
      </c>
      <c r="P24" s="13" t="s">
        <v>93</v>
      </c>
      <c r="Q24" s="22" t="s">
        <v>93</v>
      </c>
      <c r="R24" s="21"/>
      <c r="S24" s="13"/>
      <c r="T24" s="13" t="s">
        <v>93</v>
      </c>
      <c r="U24" s="13" t="s">
        <v>93</v>
      </c>
      <c r="V24" s="78"/>
      <c r="W24" s="78"/>
      <c r="X24" s="78"/>
      <c r="Y24" s="75"/>
      <c r="Z24" s="34" t="s">
        <v>150</v>
      </c>
      <c r="AA24" s="34" t="s">
        <v>154</v>
      </c>
      <c r="AB24" s="54" t="s">
        <v>138</v>
      </c>
      <c r="AC24" s="55">
        <f>'[1]ИП 21_на 01.07.'!$BI$189/1.12</f>
        <v>16.899999999999999</v>
      </c>
      <c r="AD24" s="55">
        <f t="shared" si="0"/>
        <v>16900</v>
      </c>
      <c r="AE24" s="54" t="b">
        <f t="shared" si="1"/>
        <v>1</v>
      </c>
      <c r="AF24" s="54"/>
      <c r="AG24" s="54"/>
      <c r="AH24" s="54"/>
    </row>
    <row r="25" spans="2:34" s="14" customFormat="1" ht="63.75" x14ac:dyDescent="0.25">
      <c r="B25" s="28"/>
      <c r="C25" s="81"/>
      <c r="D25" s="13" t="s">
        <v>73</v>
      </c>
      <c r="E25" s="13" t="s">
        <v>42</v>
      </c>
      <c r="F25" s="13" t="s">
        <v>74</v>
      </c>
      <c r="G25" s="13"/>
      <c r="H25" s="22"/>
      <c r="I25" s="34"/>
      <c r="J25" s="31">
        <f>11537120/1.12/1000</f>
        <v>10300.999999999998</v>
      </c>
      <c r="K25" s="15">
        <f>11537.12/1.12</f>
        <v>10301</v>
      </c>
      <c r="L25" s="15">
        <f t="shared" si="2"/>
        <v>0</v>
      </c>
      <c r="M25" s="22"/>
      <c r="N25" s="37">
        <f t="shared" si="3"/>
        <v>10300.999999999998</v>
      </c>
      <c r="O25" s="15" t="s">
        <v>93</v>
      </c>
      <c r="P25" s="13" t="s">
        <v>93</v>
      </c>
      <c r="Q25" s="22" t="s">
        <v>93</v>
      </c>
      <c r="R25" s="21"/>
      <c r="S25" s="13"/>
      <c r="T25" s="13" t="s">
        <v>93</v>
      </c>
      <c r="U25" s="13" t="s">
        <v>93</v>
      </c>
      <c r="V25" s="78"/>
      <c r="W25" s="78"/>
      <c r="X25" s="78"/>
      <c r="Y25" s="75"/>
      <c r="Z25" s="34" t="s">
        <v>150</v>
      </c>
      <c r="AA25" s="34" t="s">
        <v>154</v>
      </c>
      <c r="AB25" s="54" t="s">
        <v>139</v>
      </c>
      <c r="AC25" s="55">
        <f>'[1]ИП 21_на 01.07.'!$BI$190/1.12</f>
        <v>10.300999999999998</v>
      </c>
      <c r="AD25" s="55">
        <f t="shared" si="0"/>
        <v>10300.999999999998</v>
      </c>
      <c r="AE25" s="54" t="b">
        <f t="shared" si="1"/>
        <v>1</v>
      </c>
      <c r="AF25" s="54"/>
      <c r="AG25" s="54"/>
      <c r="AH25" s="54"/>
    </row>
    <row r="26" spans="2:34" s="14" customFormat="1" ht="63.75" x14ac:dyDescent="0.25">
      <c r="B26" s="28"/>
      <c r="C26" s="81"/>
      <c r="D26" s="13" t="s">
        <v>75</v>
      </c>
      <c r="E26" s="13" t="s">
        <v>76</v>
      </c>
      <c r="F26" s="13">
        <v>1</v>
      </c>
      <c r="G26" s="13"/>
      <c r="H26" s="22"/>
      <c r="I26" s="34"/>
      <c r="J26" s="31">
        <f>60319826.9847912/1.12/1000</f>
        <v>53856.988379277849</v>
      </c>
      <c r="K26" s="15">
        <f>59920000/1.12/1000</f>
        <v>53499.999999999993</v>
      </c>
      <c r="L26" s="15">
        <f t="shared" si="2"/>
        <v>356.98837927785644</v>
      </c>
      <c r="M26" s="22" t="s">
        <v>159</v>
      </c>
      <c r="N26" s="37"/>
      <c r="O26" s="15">
        <f>J26-N26</f>
        <v>53856.988379277849</v>
      </c>
      <c r="P26" s="13" t="s">
        <v>93</v>
      </c>
      <c r="Q26" s="22" t="s">
        <v>93</v>
      </c>
      <c r="R26" s="21"/>
      <c r="S26" s="13"/>
      <c r="T26" s="13" t="s">
        <v>93</v>
      </c>
      <c r="U26" s="13" t="s">
        <v>93</v>
      </c>
      <c r="V26" s="78"/>
      <c r="W26" s="78"/>
      <c r="X26" s="78"/>
      <c r="Y26" s="75"/>
      <c r="Z26" s="34" t="s">
        <v>151</v>
      </c>
      <c r="AA26" s="34" t="s">
        <v>154</v>
      </c>
      <c r="AB26" s="54" t="s">
        <v>140</v>
      </c>
      <c r="AC26" s="55">
        <f>'[1]ИП 21_на 01.07.'!$BI$191/1.12</f>
        <v>53.856988379277851</v>
      </c>
      <c r="AD26" s="55">
        <f t="shared" si="0"/>
        <v>53856.988379277849</v>
      </c>
      <c r="AE26" s="54" t="b">
        <f t="shared" si="1"/>
        <v>1</v>
      </c>
      <c r="AF26" s="54"/>
      <c r="AG26" s="54"/>
      <c r="AH26" s="54"/>
    </row>
    <row r="27" spans="2:34" s="14" customFormat="1" ht="63.75" x14ac:dyDescent="0.25">
      <c r="B27" s="28"/>
      <c r="C27" s="81"/>
      <c r="D27" s="13" t="s">
        <v>77</v>
      </c>
      <c r="E27" s="13" t="s">
        <v>42</v>
      </c>
      <c r="F27" s="13" t="s">
        <v>74</v>
      </c>
      <c r="G27" s="13"/>
      <c r="H27" s="22"/>
      <c r="I27" s="34"/>
      <c r="J27" s="31">
        <f>29899999.36/1.12/1000</f>
        <v>26696.427999999996</v>
      </c>
      <c r="K27" s="15">
        <f>29899.99936/1.12</f>
        <v>26696.428</v>
      </c>
      <c r="L27" s="15">
        <f t="shared" si="2"/>
        <v>0</v>
      </c>
      <c r="M27" s="22"/>
      <c r="N27" s="37">
        <v>4933.8071028704435</v>
      </c>
      <c r="O27" s="15">
        <f>J27-N27</f>
        <v>21762.620897129553</v>
      </c>
      <c r="P27" s="13" t="s">
        <v>93</v>
      </c>
      <c r="Q27" s="22" t="s">
        <v>93</v>
      </c>
      <c r="R27" s="21"/>
      <c r="S27" s="13"/>
      <c r="T27" s="13" t="s">
        <v>93</v>
      </c>
      <c r="U27" s="13" t="s">
        <v>93</v>
      </c>
      <c r="V27" s="78"/>
      <c r="W27" s="78"/>
      <c r="X27" s="78"/>
      <c r="Y27" s="75"/>
      <c r="Z27" s="34" t="s">
        <v>150</v>
      </c>
      <c r="AA27" s="34" t="s">
        <v>154</v>
      </c>
      <c r="AB27" s="54" t="s">
        <v>141</v>
      </c>
      <c r="AC27" s="55">
        <f>'[1]ИП 21_на 01.07.'!$BI$192/1.12</f>
        <v>26.696428000000001</v>
      </c>
      <c r="AD27" s="55">
        <f t="shared" si="0"/>
        <v>26696.428</v>
      </c>
      <c r="AE27" s="54" t="b">
        <f t="shared" si="1"/>
        <v>1</v>
      </c>
      <c r="AF27" s="54"/>
      <c r="AG27" s="54"/>
      <c r="AH27" s="54"/>
    </row>
    <row r="28" spans="2:34" s="14" customFormat="1" ht="63.75" x14ac:dyDescent="0.25">
      <c r="B28" s="28"/>
      <c r="C28" s="81"/>
      <c r="D28" s="43" t="s">
        <v>78</v>
      </c>
      <c r="E28" s="13" t="s">
        <v>42</v>
      </c>
      <c r="F28" s="13">
        <v>70</v>
      </c>
      <c r="G28" s="13"/>
      <c r="H28" s="22"/>
      <c r="I28" s="34"/>
      <c r="J28" s="31">
        <f>5009760/1.12/1000</f>
        <v>4473</v>
      </c>
      <c r="K28" s="15">
        <f>5009.76/1.12</f>
        <v>4473</v>
      </c>
      <c r="L28" s="15">
        <f t="shared" si="2"/>
        <v>0</v>
      </c>
      <c r="M28" s="22"/>
      <c r="N28" s="37">
        <f t="shared" si="3"/>
        <v>4473</v>
      </c>
      <c r="O28" s="15" t="s">
        <v>93</v>
      </c>
      <c r="P28" s="13" t="s">
        <v>93</v>
      </c>
      <c r="Q28" s="22" t="s">
        <v>93</v>
      </c>
      <c r="R28" s="21"/>
      <c r="S28" s="13"/>
      <c r="T28" s="13" t="s">
        <v>93</v>
      </c>
      <c r="U28" s="13" t="s">
        <v>93</v>
      </c>
      <c r="V28" s="78"/>
      <c r="W28" s="78"/>
      <c r="X28" s="78"/>
      <c r="Y28" s="75"/>
      <c r="Z28" s="34" t="s">
        <v>150</v>
      </c>
      <c r="AA28" s="34" t="s">
        <v>154</v>
      </c>
      <c r="AB28" s="54" t="s">
        <v>147</v>
      </c>
      <c r="AC28" s="55">
        <f>'[2]ИП 21_на 01.07.'!$BI$194/1.12</f>
        <v>4.4729999999999999</v>
      </c>
      <c r="AD28" s="55">
        <f t="shared" si="0"/>
        <v>4473</v>
      </c>
      <c r="AE28" s="54" t="b">
        <f t="shared" si="1"/>
        <v>1</v>
      </c>
      <c r="AF28" s="54"/>
      <c r="AG28" s="54"/>
      <c r="AH28" s="54"/>
    </row>
    <row r="29" spans="2:34" s="14" customFormat="1" ht="63.75" x14ac:dyDescent="0.25">
      <c r="B29" s="28"/>
      <c r="C29" s="81"/>
      <c r="D29" s="13" t="s">
        <v>79</v>
      </c>
      <c r="E29" s="13" t="s">
        <v>42</v>
      </c>
      <c r="F29" s="13" t="s">
        <v>80</v>
      </c>
      <c r="G29" s="13"/>
      <c r="H29" s="22"/>
      <c r="I29" s="34"/>
      <c r="J29" s="31">
        <f>3192000/1.12/1000</f>
        <v>2849.9999999999995</v>
      </c>
      <c r="K29" s="15">
        <f>3192/1.12</f>
        <v>2849.9999999999995</v>
      </c>
      <c r="L29" s="15">
        <f t="shared" si="2"/>
        <v>0</v>
      </c>
      <c r="M29" s="22"/>
      <c r="N29" s="37">
        <f t="shared" si="3"/>
        <v>2849.9999999999995</v>
      </c>
      <c r="O29" s="15" t="s">
        <v>93</v>
      </c>
      <c r="P29" s="13" t="s">
        <v>93</v>
      </c>
      <c r="Q29" s="22" t="s">
        <v>93</v>
      </c>
      <c r="R29" s="21"/>
      <c r="S29" s="13"/>
      <c r="T29" s="13" t="s">
        <v>93</v>
      </c>
      <c r="U29" s="13" t="s">
        <v>93</v>
      </c>
      <c r="V29" s="78"/>
      <c r="W29" s="78"/>
      <c r="X29" s="78"/>
      <c r="Y29" s="75"/>
      <c r="Z29" s="34" t="s">
        <v>150</v>
      </c>
      <c r="AA29" s="34" t="s">
        <v>154</v>
      </c>
      <c r="AB29" s="54" t="s">
        <v>142</v>
      </c>
      <c r="AC29" s="55">
        <f>'[1]ИП 21_на 01.07.'!$BI$195/1.12</f>
        <v>2.8500000000000005</v>
      </c>
      <c r="AD29" s="55">
        <f t="shared" si="0"/>
        <v>2850.0000000000005</v>
      </c>
      <c r="AE29" s="54" t="b">
        <f t="shared" si="1"/>
        <v>1</v>
      </c>
      <c r="AF29" s="54"/>
      <c r="AG29" s="54"/>
      <c r="AH29" s="54"/>
    </row>
    <row r="30" spans="2:34" s="14" customFormat="1" ht="63.75" x14ac:dyDescent="0.25">
      <c r="B30" s="28"/>
      <c r="C30" s="81"/>
      <c r="D30" s="13" t="s">
        <v>81</v>
      </c>
      <c r="E30" s="13" t="s">
        <v>42</v>
      </c>
      <c r="F30" s="13" t="s">
        <v>82</v>
      </c>
      <c r="G30" s="13"/>
      <c r="H30" s="22"/>
      <c r="I30" s="34"/>
      <c r="J30" s="31">
        <f>3472224/1.12/1000</f>
        <v>3100.1999999999994</v>
      </c>
      <c r="K30" s="15">
        <f>3472.224/1.12</f>
        <v>3100.2</v>
      </c>
      <c r="L30" s="15">
        <f t="shared" si="2"/>
        <v>0</v>
      </c>
      <c r="M30" s="22"/>
      <c r="N30" s="37">
        <f t="shared" si="3"/>
        <v>3100.1999999999994</v>
      </c>
      <c r="O30" s="15" t="s">
        <v>93</v>
      </c>
      <c r="P30" s="13" t="s">
        <v>93</v>
      </c>
      <c r="Q30" s="22" t="s">
        <v>93</v>
      </c>
      <c r="R30" s="21"/>
      <c r="S30" s="13"/>
      <c r="T30" s="13" t="s">
        <v>93</v>
      </c>
      <c r="U30" s="13" t="s">
        <v>93</v>
      </c>
      <c r="V30" s="78"/>
      <c r="W30" s="78"/>
      <c r="X30" s="78"/>
      <c r="Y30" s="75"/>
      <c r="Z30" s="34" t="s">
        <v>150</v>
      </c>
      <c r="AA30" s="34" t="s">
        <v>154</v>
      </c>
      <c r="AB30" s="54" t="s">
        <v>143</v>
      </c>
      <c r="AC30" s="55">
        <f>'[1]ИП 21_на 01.07.'!$BI$198/1.12</f>
        <v>3.1002000000000001</v>
      </c>
      <c r="AD30" s="55">
        <f t="shared" si="0"/>
        <v>3100.2000000000003</v>
      </c>
      <c r="AE30" s="54" t="b">
        <f t="shared" si="1"/>
        <v>1</v>
      </c>
      <c r="AF30" s="54"/>
      <c r="AG30" s="54"/>
      <c r="AH30" s="54"/>
    </row>
    <row r="31" spans="2:34" s="14" customFormat="1" ht="63.75" x14ac:dyDescent="0.25">
      <c r="B31" s="28"/>
      <c r="C31" s="81"/>
      <c r="D31" s="13" t="s">
        <v>83</v>
      </c>
      <c r="E31" s="13" t="s">
        <v>42</v>
      </c>
      <c r="F31" s="13">
        <v>1</v>
      </c>
      <c r="G31" s="13"/>
      <c r="H31" s="22"/>
      <c r="I31" s="34"/>
      <c r="J31" s="31">
        <f>8763000.32/1.12/1000</f>
        <v>7824.1074285714285</v>
      </c>
      <c r="K31" s="15">
        <f>8762999.84/1.12/1000</f>
        <v>7824.1069999999991</v>
      </c>
      <c r="L31" s="15">
        <f>J31-K31</f>
        <v>4.2857142943830695E-4</v>
      </c>
      <c r="M31" s="22"/>
      <c r="N31" s="37">
        <f t="shared" si="3"/>
        <v>7824.1074285714285</v>
      </c>
      <c r="O31" s="15" t="s">
        <v>93</v>
      </c>
      <c r="P31" s="13" t="s">
        <v>93</v>
      </c>
      <c r="Q31" s="22" t="s">
        <v>93</v>
      </c>
      <c r="R31" s="21"/>
      <c r="S31" s="13"/>
      <c r="T31" s="13" t="s">
        <v>93</v>
      </c>
      <c r="U31" s="13" t="s">
        <v>93</v>
      </c>
      <c r="V31" s="78"/>
      <c r="W31" s="78"/>
      <c r="X31" s="78"/>
      <c r="Y31" s="75"/>
      <c r="Z31" s="34" t="s">
        <v>150</v>
      </c>
      <c r="AA31" s="34" t="s">
        <v>154</v>
      </c>
      <c r="AB31" s="54" t="s">
        <v>144</v>
      </c>
      <c r="AC31" s="55">
        <f>'[1]ИП 21_на 01.07.'!$BI$197/1.12</f>
        <v>9.7259999999999991</v>
      </c>
      <c r="AD31" s="55">
        <f t="shared" si="0"/>
        <v>9726</v>
      </c>
      <c r="AE31" s="54" t="b">
        <f t="shared" si="1"/>
        <v>0</v>
      </c>
      <c r="AF31" s="54"/>
      <c r="AG31" s="54"/>
      <c r="AH31" s="54"/>
    </row>
    <row r="32" spans="2:34" s="14" customFormat="1" ht="63.75" x14ac:dyDescent="0.25">
      <c r="B32" s="28"/>
      <c r="C32" s="81"/>
      <c r="D32" s="13" t="s">
        <v>84</v>
      </c>
      <c r="E32" s="13" t="s">
        <v>42</v>
      </c>
      <c r="F32" s="13">
        <v>1</v>
      </c>
      <c r="G32" s="13"/>
      <c r="H32" s="22"/>
      <c r="I32" s="34"/>
      <c r="J32" s="31">
        <f>23573999.68/1.12/1000</f>
        <v>21048.213999999996</v>
      </c>
      <c r="K32" s="15">
        <f>23573999.68/1.12/1000</f>
        <v>21048.213999999996</v>
      </c>
      <c r="L32" s="15">
        <f t="shared" si="2"/>
        <v>0</v>
      </c>
      <c r="M32" s="22"/>
      <c r="N32" s="37">
        <f t="shared" si="3"/>
        <v>21048.213999999996</v>
      </c>
      <c r="O32" s="15" t="s">
        <v>93</v>
      </c>
      <c r="P32" s="13" t="s">
        <v>93</v>
      </c>
      <c r="Q32" s="22" t="s">
        <v>93</v>
      </c>
      <c r="R32" s="21"/>
      <c r="S32" s="13"/>
      <c r="T32" s="13" t="s">
        <v>93</v>
      </c>
      <c r="U32" s="13" t="s">
        <v>93</v>
      </c>
      <c r="V32" s="78"/>
      <c r="W32" s="78"/>
      <c r="X32" s="78"/>
      <c r="Y32" s="75"/>
      <c r="Z32" s="34" t="s">
        <v>150</v>
      </c>
      <c r="AA32" s="34" t="s">
        <v>154</v>
      </c>
      <c r="AB32" s="54" t="s">
        <v>144</v>
      </c>
      <c r="AC32" s="55">
        <f>'[1]ИП 21_на 01.07.'!$BI$196/1.12</f>
        <v>28.872321428571421</v>
      </c>
      <c r="AD32" s="55">
        <f t="shared" si="0"/>
        <v>28872.32142857142</v>
      </c>
      <c r="AE32" s="54" t="b">
        <f t="shared" si="1"/>
        <v>0</v>
      </c>
      <c r="AF32" s="57">
        <f>'[3]ИП 21_на 01.07.'!$BI$196/1.12*1000</f>
        <v>28872.32142857142</v>
      </c>
      <c r="AG32" s="57">
        <f>J31+J32</f>
        <v>28872.321428571424</v>
      </c>
      <c r="AH32" s="54" t="b">
        <f>AF32=AG32</f>
        <v>1</v>
      </c>
    </row>
    <row r="33" spans="2:34" s="14" customFormat="1" ht="63.75" x14ac:dyDescent="0.25">
      <c r="B33" s="28"/>
      <c r="C33" s="81"/>
      <c r="D33" s="13" t="s">
        <v>85</v>
      </c>
      <c r="E33" s="13" t="s">
        <v>42</v>
      </c>
      <c r="F33" s="13">
        <v>1</v>
      </c>
      <c r="G33" s="13"/>
      <c r="H33" s="22"/>
      <c r="I33" s="34"/>
      <c r="J33" s="31">
        <f>10893120/1.12/1000</f>
        <v>9726</v>
      </c>
      <c r="K33" s="15">
        <f>10893.12/1.12</f>
        <v>9726</v>
      </c>
      <c r="L33" s="15">
        <f t="shared" si="2"/>
        <v>0</v>
      </c>
      <c r="M33" s="22"/>
      <c r="N33" s="37">
        <f t="shared" si="3"/>
        <v>9726</v>
      </c>
      <c r="O33" s="15" t="s">
        <v>93</v>
      </c>
      <c r="P33" s="13" t="s">
        <v>93</v>
      </c>
      <c r="Q33" s="22" t="s">
        <v>93</v>
      </c>
      <c r="R33" s="21"/>
      <c r="S33" s="13"/>
      <c r="T33" s="13" t="s">
        <v>93</v>
      </c>
      <c r="U33" s="13" t="s">
        <v>93</v>
      </c>
      <c r="V33" s="78"/>
      <c r="W33" s="78"/>
      <c r="X33" s="78"/>
      <c r="Y33" s="75"/>
      <c r="Z33" s="34" t="s">
        <v>150</v>
      </c>
      <c r="AA33" s="34" t="s">
        <v>154</v>
      </c>
      <c r="AB33" s="54" t="s">
        <v>145</v>
      </c>
      <c r="AC33" s="55">
        <f>'[1]ИП 21_на 01.07.'!$BI$197/1.12</f>
        <v>9.7259999999999991</v>
      </c>
      <c r="AD33" s="55">
        <f t="shared" si="0"/>
        <v>9726</v>
      </c>
      <c r="AE33" s="54" t="b">
        <f t="shared" si="1"/>
        <v>1</v>
      </c>
      <c r="AF33" s="54"/>
      <c r="AG33" s="54"/>
      <c r="AH33" s="54"/>
    </row>
    <row r="34" spans="2:34" s="14" customFormat="1" ht="64.5" thickBot="1" x14ac:dyDescent="0.3">
      <c r="B34" s="29"/>
      <c r="C34" s="82"/>
      <c r="D34" s="24" t="s">
        <v>86</v>
      </c>
      <c r="E34" s="24" t="s">
        <v>87</v>
      </c>
      <c r="F34" s="24">
        <v>1</v>
      </c>
      <c r="G34" s="24"/>
      <c r="H34" s="26"/>
      <c r="I34" s="35"/>
      <c r="J34" s="32">
        <f>(67387729.763152+1654625+1891596)/1.12/1000</f>
        <v>63333.884609957138</v>
      </c>
      <c r="K34" s="25"/>
      <c r="L34" s="25">
        <f>J34-K34</f>
        <v>63333.884609957138</v>
      </c>
      <c r="M34" s="26" t="s">
        <v>152</v>
      </c>
      <c r="N34" s="41"/>
      <c r="O34" s="25">
        <f>J34</f>
        <v>63333.884609957138</v>
      </c>
      <c r="P34" s="24" t="s">
        <v>93</v>
      </c>
      <c r="Q34" s="26" t="s">
        <v>93</v>
      </c>
      <c r="R34" s="23"/>
      <c r="S34" s="24"/>
      <c r="T34" s="24" t="s">
        <v>93</v>
      </c>
      <c r="U34" s="24" t="s">
        <v>93</v>
      </c>
      <c r="V34" s="79"/>
      <c r="W34" s="79"/>
      <c r="X34" s="79"/>
      <c r="Y34" s="76"/>
      <c r="Z34" s="35" t="s">
        <v>152</v>
      </c>
      <c r="AA34" s="35" t="s">
        <v>154</v>
      </c>
      <c r="AB34" s="56" t="s">
        <v>146</v>
      </c>
      <c r="AC34" s="55">
        <f>('[1]ИП 21_на 01.07.'!$BI$180+'[3]ИП 21_на 01.07.'!$BI$181+'[3]ИП 21_на 01.07.'!$BI$182)/1.12</f>
        <v>63.333884609957146</v>
      </c>
      <c r="AD34" s="55">
        <f t="shared" si="0"/>
        <v>63333.884609957146</v>
      </c>
      <c r="AE34" s="54" t="b">
        <f t="shared" si="1"/>
        <v>1</v>
      </c>
      <c r="AF34" s="54"/>
      <c r="AG34" s="54"/>
      <c r="AH34" s="54"/>
    </row>
    <row r="35" spans="2:34" s="14" customFormat="1" x14ac:dyDescent="0.25">
      <c r="AC35" s="45"/>
      <c r="AD35" s="45"/>
    </row>
    <row r="36" spans="2:34" s="14" customFormat="1" x14ac:dyDescent="0.25">
      <c r="AC36" s="45"/>
      <c r="AD36" s="45"/>
    </row>
    <row r="37" spans="2:34" s="14" customFormat="1" x14ac:dyDescent="0.25">
      <c r="AC37" s="45"/>
      <c r="AD37" s="45"/>
    </row>
    <row r="38" spans="2:34" s="14" customFormat="1" x14ac:dyDescent="0.25">
      <c r="AC38" s="45"/>
      <c r="AD38" s="45"/>
    </row>
    <row r="39" spans="2:34" s="14" customFormat="1" x14ac:dyDescent="0.25">
      <c r="AC39" s="45"/>
      <c r="AD39" s="45"/>
    </row>
    <row r="40" spans="2:34" s="14" customFormat="1" x14ac:dyDescent="0.25">
      <c r="AC40" s="45"/>
      <c r="AD40" s="45"/>
    </row>
    <row r="41" spans="2:34" s="14" customFormat="1" x14ac:dyDescent="0.25">
      <c r="AC41" s="45"/>
      <c r="AD41" s="45"/>
    </row>
    <row r="42" spans="2:34" s="14" customFormat="1" x14ac:dyDescent="0.25">
      <c r="AC42" s="45"/>
      <c r="AD42" s="45"/>
    </row>
    <row r="43" spans="2:34" s="14" customFormat="1" x14ac:dyDescent="0.25">
      <c r="AC43" s="45"/>
      <c r="AD43" s="45"/>
    </row>
    <row r="44" spans="2:34" s="14" customFormat="1" x14ac:dyDescent="0.25">
      <c r="AC44" s="45"/>
      <c r="AD44" s="45"/>
    </row>
    <row r="45" spans="2:34" s="14" customFormat="1" x14ac:dyDescent="0.25">
      <c r="AC45" s="45"/>
      <c r="AD45" s="45"/>
    </row>
    <row r="46" spans="2:34" s="14" customFormat="1" x14ac:dyDescent="0.25">
      <c r="AC46" s="45"/>
      <c r="AD46" s="45"/>
    </row>
    <row r="47" spans="2:34" s="14" customFormat="1" x14ac:dyDescent="0.25">
      <c r="AC47" s="45"/>
      <c r="AD47" s="45"/>
    </row>
    <row r="48" spans="2:34" s="14" customFormat="1" x14ac:dyDescent="0.25">
      <c r="AC48" s="45"/>
      <c r="AD48" s="45"/>
    </row>
    <row r="49" spans="29:30" s="14" customFormat="1" x14ac:dyDescent="0.25">
      <c r="AC49" s="45"/>
      <c r="AD49" s="45"/>
    </row>
    <row r="50" spans="29:30" s="14" customFormat="1" x14ac:dyDescent="0.25">
      <c r="AC50" s="45"/>
      <c r="AD50" s="45"/>
    </row>
    <row r="51" spans="29:30" s="14" customFormat="1" x14ac:dyDescent="0.25">
      <c r="AC51" s="45"/>
      <c r="AD51" s="45"/>
    </row>
    <row r="52" spans="29:30" s="14" customFormat="1" x14ac:dyDescent="0.25">
      <c r="AC52" s="45"/>
      <c r="AD52" s="45"/>
    </row>
    <row r="53" spans="29:30" s="14" customFormat="1" x14ac:dyDescent="0.25">
      <c r="AC53" s="45"/>
      <c r="AD53" s="45"/>
    </row>
    <row r="54" spans="29:30" s="14" customFormat="1" x14ac:dyDescent="0.25">
      <c r="AC54" s="45"/>
      <c r="AD54" s="45"/>
    </row>
    <row r="55" spans="29:30" s="14" customFormat="1" x14ac:dyDescent="0.25">
      <c r="AC55" s="45"/>
      <c r="AD55" s="45"/>
    </row>
    <row r="56" spans="29:30" s="14" customFormat="1" x14ac:dyDescent="0.25">
      <c r="AC56" s="45"/>
      <c r="AD56" s="45"/>
    </row>
    <row r="57" spans="29:30" s="14" customFormat="1" x14ac:dyDescent="0.25">
      <c r="AC57" s="45"/>
      <c r="AD57" s="45"/>
    </row>
    <row r="58" spans="29:30" s="14" customFormat="1" x14ac:dyDescent="0.25">
      <c r="AC58" s="45"/>
      <c r="AD58" s="45"/>
    </row>
    <row r="59" spans="29:30" s="14" customFormat="1" x14ac:dyDescent="0.25">
      <c r="AC59" s="45"/>
      <c r="AD59" s="45"/>
    </row>
    <row r="60" spans="29:30" s="14" customFormat="1" x14ac:dyDescent="0.25">
      <c r="AC60" s="45"/>
      <c r="AD60" s="45"/>
    </row>
    <row r="61" spans="29:30" s="14" customFormat="1" x14ac:dyDescent="0.25">
      <c r="AC61" s="45"/>
      <c r="AD61" s="45"/>
    </row>
    <row r="62" spans="29:30" s="14" customFormat="1" x14ac:dyDescent="0.25">
      <c r="AC62" s="45"/>
      <c r="AD62" s="45"/>
    </row>
    <row r="63" spans="29:30" s="14" customFormat="1" x14ac:dyDescent="0.25">
      <c r="AC63" s="45"/>
      <c r="AD63" s="45"/>
    </row>
    <row r="64" spans="29:30" s="14" customFormat="1" x14ac:dyDescent="0.25">
      <c r="AC64" s="45"/>
      <c r="AD64" s="45"/>
    </row>
    <row r="65" spans="29:30" s="14" customFormat="1" x14ac:dyDescent="0.25">
      <c r="AC65" s="45"/>
      <c r="AD65" s="45"/>
    </row>
    <row r="66" spans="29:30" s="14" customFormat="1" x14ac:dyDescent="0.25">
      <c r="AC66" s="45"/>
      <c r="AD66" s="45"/>
    </row>
    <row r="67" spans="29:30" s="14" customFormat="1" x14ac:dyDescent="0.25">
      <c r="AC67" s="45"/>
      <c r="AD67" s="45"/>
    </row>
    <row r="68" spans="29:30" s="14" customFormat="1" x14ac:dyDescent="0.25">
      <c r="AC68" s="45"/>
      <c r="AD68" s="45"/>
    </row>
    <row r="69" spans="29:30" s="14" customFormat="1" x14ac:dyDescent="0.25">
      <c r="AC69" s="45"/>
      <c r="AD69" s="45"/>
    </row>
    <row r="70" spans="29:30" s="14" customFormat="1" x14ac:dyDescent="0.25">
      <c r="AC70" s="45"/>
      <c r="AD70" s="45"/>
    </row>
    <row r="71" spans="29:30" s="14" customFormat="1" x14ac:dyDescent="0.25">
      <c r="AC71" s="45"/>
      <c r="AD71" s="45"/>
    </row>
    <row r="72" spans="29:30" s="14" customFormat="1" x14ac:dyDescent="0.25">
      <c r="AC72" s="45"/>
      <c r="AD72" s="45"/>
    </row>
    <row r="73" spans="29:30" s="14" customFormat="1" x14ac:dyDescent="0.25">
      <c r="AC73" s="45"/>
      <c r="AD73" s="45"/>
    </row>
    <row r="74" spans="29:30" s="14" customFormat="1" x14ac:dyDescent="0.25">
      <c r="AC74" s="45"/>
      <c r="AD74" s="45"/>
    </row>
    <row r="75" spans="29:30" s="14" customFormat="1" x14ac:dyDescent="0.25">
      <c r="AC75" s="45"/>
      <c r="AD75" s="45"/>
    </row>
    <row r="76" spans="29:30" s="14" customFormat="1" x14ac:dyDescent="0.25">
      <c r="AC76" s="45"/>
      <c r="AD76" s="45"/>
    </row>
    <row r="77" spans="29:30" s="14" customFormat="1" x14ac:dyDescent="0.25">
      <c r="AC77" s="45"/>
      <c r="AD77" s="45"/>
    </row>
    <row r="78" spans="29:30" s="14" customFormat="1" x14ac:dyDescent="0.25">
      <c r="AC78" s="45"/>
      <c r="AD78" s="45"/>
    </row>
    <row r="79" spans="29:30" s="14" customFormat="1" x14ac:dyDescent="0.25">
      <c r="AC79" s="45"/>
      <c r="AD79" s="45"/>
    </row>
    <row r="80" spans="29:30" s="14" customFormat="1" x14ac:dyDescent="0.25">
      <c r="AC80" s="45"/>
      <c r="AD80" s="45"/>
    </row>
    <row r="81" spans="29:30" s="14" customFormat="1" x14ac:dyDescent="0.25">
      <c r="AC81" s="45"/>
      <c r="AD81" s="45"/>
    </row>
    <row r="82" spans="29:30" s="14" customFormat="1" x14ac:dyDescent="0.25">
      <c r="AC82" s="45"/>
      <c r="AD82" s="45"/>
    </row>
    <row r="83" spans="29:30" s="14" customFormat="1" x14ac:dyDescent="0.25">
      <c r="AC83" s="45"/>
      <c r="AD83" s="45"/>
    </row>
    <row r="84" spans="29:30" s="14" customFormat="1" x14ac:dyDescent="0.25">
      <c r="AC84" s="45"/>
      <c r="AD84" s="45"/>
    </row>
    <row r="85" spans="29:30" s="14" customFormat="1" x14ac:dyDescent="0.25">
      <c r="AC85" s="45"/>
      <c r="AD85" s="45"/>
    </row>
    <row r="86" spans="29:30" s="14" customFormat="1" x14ac:dyDescent="0.25">
      <c r="AC86" s="45"/>
      <c r="AD86" s="45"/>
    </row>
    <row r="87" spans="29:30" s="14" customFormat="1" x14ac:dyDescent="0.25">
      <c r="AC87" s="45"/>
      <c r="AD87" s="45"/>
    </row>
    <row r="88" spans="29:30" s="14" customFormat="1" x14ac:dyDescent="0.25">
      <c r="AC88" s="45"/>
      <c r="AD88" s="45"/>
    </row>
    <row r="89" spans="29:30" s="14" customFormat="1" x14ac:dyDescent="0.25">
      <c r="AC89" s="45"/>
      <c r="AD89" s="45"/>
    </row>
    <row r="90" spans="29:30" s="14" customFormat="1" x14ac:dyDescent="0.25">
      <c r="AC90" s="45"/>
      <c r="AD90" s="45"/>
    </row>
    <row r="91" spans="29:30" s="14" customFormat="1" x14ac:dyDescent="0.25">
      <c r="AC91" s="45"/>
      <c r="AD91" s="45"/>
    </row>
    <row r="92" spans="29:30" s="14" customFormat="1" x14ac:dyDescent="0.25">
      <c r="AC92" s="45"/>
      <c r="AD92" s="45"/>
    </row>
    <row r="93" spans="29:30" s="14" customFormat="1" x14ac:dyDescent="0.25">
      <c r="AC93" s="45"/>
      <c r="AD93" s="45"/>
    </row>
    <row r="94" spans="29:30" s="14" customFormat="1" x14ac:dyDescent="0.25">
      <c r="AC94" s="45"/>
      <c r="AD94" s="45"/>
    </row>
    <row r="95" spans="29:30" s="14" customFormat="1" x14ac:dyDescent="0.25">
      <c r="AC95" s="45"/>
      <c r="AD95" s="45"/>
    </row>
    <row r="96" spans="29:30" s="14" customFormat="1" x14ac:dyDescent="0.25">
      <c r="AC96" s="45"/>
      <c r="AD96" s="45"/>
    </row>
    <row r="97" spans="29:30" s="14" customFormat="1" x14ac:dyDescent="0.25">
      <c r="AC97" s="45"/>
      <c r="AD97" s="45"/>
    </row>
    <row r="98" spans="29:30" s="14" customFormat="1" x14ac:dyDescent="0.25">
      <c r="AC98" s="45"/>
      <c r="AD98" s="45"/>
    </row>
    <row r="99" spans="29:30" s="14" customFormat="1" x14ac:dyDescent="0.25">
      <c r="AC99" s="45"/>
      <c r="AD99" s="45"/>
    </row>
    <row r="100" spans="29:30" s="14" customFormat="1" x14ac:dyDescent="0.25">
      <c r="AC100" s="45"/>
      <c r="AD100" s="45"/>
    </row>
    <row r="101" spans="29:30" s="14" customFormat="1" x14ac:dyDescent="0.25">
      <c r="AC101" s="45"/>
      <c r="AD101" s="45"/>
    </row>
    <row r="102" spans="29:30" s="14" customFormat="1" x14ac:dyDescent="0.25">
      <c r="AC102" s="45"/>
      <c r="AD102" s="45"/>
    </row>
    <row r="103" spans="29:30" s="14" customFormat="1" x14ac:dyDescent="0.25">
      <c r="AC103" s="45"/>
      <c r="AD103" s="45"/>
    </row>
    <row r="104" spans="29:30" s="14" customFormat="1" x14ac:dyDescent="0.25">
      <c r="AC104" s="45"/>
      <c r="AD104" s="45"/>
    </row>
    <row r="105" spans="29:30" s="14" customFormat="1" x14ac:dyDescent="0.25">
      <c r="AC105" s="45"/>
      <c r="AD105" s="45"/>
    </row>
    <row r="106" spans="29:30" s="14" customFormat="1" x14ac:dyDescent="0.25">
      <c r="AC106" s="45"/>
      <c r="AD106" s="45"/>
    </row>
    <row r="107" spans="29:30" s="14" customFormat="1" x14ac:dyDescent="0.25">
      <c r="AC107" s="45"/>
      <c r="AD107" s="45"/>
    </row>
    <row r="108" spans="29:30" s="14" customFormat="1" x14ac:dyDescent="0.25">
      <c r="AC108" s="45"/>
      <c r="AD108" s="45"/>
    </row>
    <row r="109" spans="29:30" s="14" customFormat="1" x14ac:dyDescent="0.25">
      <c r="AC109" s="45"/>
      <c r="AD109" s="45"/>
    </row>
    <row r="110" spans="29:30" s="14" customFormat="1" x14ac:dyDescent="0.25">
      <c r="AC110" s="45"/>
      <c r="AD110" s="45"/>
    </row>
    <row r="111" spans="29:30" s="14" customFormat="1" x14ac:dyDescent="0.25">
      <c r="AC111" s="45"/>
      <c r="AD111" s="45"/>
    </row>
    <row r="112" spans="29:30" s="14" customFormat="1" x14ac:dyDescent="0.25">
      <c r="AC112" s="45"/>
      <c r="AD112" s="45"/>
    </row>
    <row r="113" spans="29:30" s="14" customFormat="1" x14ac:dyDescent="0.25">
      <c r="AC113" s="45"/>
      <c r="AD113" s="45"/>
    </row>
    <row r="114" spans="29:30" s="14" customFormat="1" x14ac:dyDescent="0.25">
      <c r="AC114" s="45"/>
      <c r="AD114" s="45"/>
    </row>
    <row r="115" spans="29:30" s="14" customFormat="1" x14ac:dyDescent="0.25">
      <c r="AC115" s="45"/>
      <c r="AD115" s="45"/>
    </row>
    <row r="116" spans="29:30" s="14" customFormat="1" x14ac:dyDescent="0.25">
      <c r="AC116" s="45"/>
      <c r="AD116" s="45"/>
    </row>
    <row r="117" spans="29:30" s="14" customFormat="1" x14ac:dyDescent="0.25">
      <c r="AC117" s="45"/>
      <c r="AD117" s="45"/>
    </row>
    <row r="118" spans="29:30" s="14" customFormat="1" x14ac:dyDescent="0.25">
      <c r="AC118" s="45"/>
      <c r="AD118" s="45"/>
    </row>
    <row r="119" spans="29:30" s="14" customFormat="1" x14ac:dyDescent="0.25">
      <c r="AC119" s="45"/>
      <c r="AD119" s="45"/>
    </row>
    <row r="120" spans="29:30" s="14" customFormat="1" x14ac:dyDescent="0.25">
      <c r="AC120" s="45"/>
      <c r="AD120" s="45"/>
    </row>
    <row r="121" spans="29:30" s="14" customFormat="1" x14ac:dyDescent="0.25">
      <c r="AC121" s="45"/>
      <c r="AD121" s="45"/>
    </row>
    <row r="122" spans="29:30" s="14" customFormat="1" x14ac:dyDescent="0.25">
      <c r="AC122" s="45"/>
      <c r="AD122" s="45"/>
    </row>
    <row r="123" spans="29:30" s="14" customFormat="1" x14ac:dyDescent="0.25">
      <c r="AC123" s="45"/>
      <c r="AD123" s="45"/>
    </row>
    <row r="124" spans="29:30" s="14" customFormat="1" x14ac:dyDescent="0.25">
      <c r="AC124" s="45"/>
      <c r="AD124" s="45"/>
    </row>
    <row r="125" spans="29:30" s="14" customFormat="1" x14ac:dyDescent="0.25">
      <c r="AC125" s="45"/>
      <c r="AD125" s="45"/>
    </row>
    <row r="126" spans="29:30" s="14" customFormat="1" x14ac:dyDescent="0.25">
      <c r="AC126" s="45"/>
      <c r="AD126" s="45"/>
    </row>
    <row r="127" spans="29:30" s="14" customFormat="1" x14ac:dyDescent="0.25">
      <c r="AC127" s="45"/>
      <c r="AD127" s="45"/>
    </row>
    <row r="128" spans="29:30" s="14" customFormat="1" x14ac:dyDescent="0.25">
      <c r="AC128" s="45"/>
      <c r="AD128" s="45"/>
    </row>
    <row r="129" spans="29:30" s="14" customFormat="1" x14ac:dyDescent="0.25">
      <c r="AC129" s="45"/>
      <c r="AD129" s="45"/>
    </row>
    <row r="130" spans="29:30" s="14" customFormat="1" x14ac:dyDescent="0.25">
      <c r="AC130" s="45"/>
      <c r="AD130" s="45"/>
    </row>
    <row r="131" spans="29:30" s="14" customFormat="1" x14ac:dyDescent="0.25">
      <c r="AC131" s="45"/>
      <c r="AD131" s="45"/>
    </row>
    <row r="132" spans="29:30" s="14" customFormat="1" x14ac:dyDescent="0.25">
      <c r="AC132" s="45"/>
      <c r="AD132" s="45"/>
    </row>
    <row r="133" spans="29:30" s="14" customFormat="1" x14ac:dyDescent="0.25">
      <c r="AC133" s="45"/>
      <c r="AD133" s="45"/>
    </row>
    <row r="134" spans="29:30" s="14" customFormat="1" x14ac:dyDescent="0.25">
      <c r="AC134" s="45"/>
      <c r="AD134" s="45"/>
    </row>
    <row r="135" spans="29:30" s="14" customFormat="1" x14ac:dyDescent="0.25">
      <c r="AC135" s="45"/>
      <c r="AD135" s="45"/>
    </row>
    <row r="136" spans="29:30" s="14" customFormat="1" x14ac:dyDescent="0.25">
      <c r="AC136" s="45"/>
      <c r="AD136" s="45"/>
    </row>
    <row r="137" spans="29:30" s="14" customFormat="1" x14ac:dyDescent="0.25">
      <c r="AC137" s="45"/>
      <c r="AD137" s="45"/>
    </row>
    <row r="138" spans="29:30" s="14" customFormat="1" x14ac:dyDescent="0.25">
      <c r="AC138" s="45"/>
      <c r="AD138" s="45"/>
    </row>
    <row r="139" spans="29:30" s="14" customFormat="1" x14ac:dyDescent="0.25">
      <c r="AC139" s="45"/>
      <c r="AD139" s="45"/>
    </row>
    <row r="140" spans="29:30" s="14" customFormat="1" x14ac:dyDescent="0.25">
      <c r="AC140" s="45"/>
      <c r="AD140" s="45"/>
    </row>
    <row r="141" spans="29:30" s="14" customFormat="1" x14ac:dyDescent="0.25">
      <c r="AC141" s="45"/>
      <c r="AD141" s="45"/>
    </row>
    <row r="142" spans="29:30" s="14" customFormat="1" x14ac:dyDescent="0.25">
      <c r="AC142" s="45"/>
      <c r="AD142" s="45"/>
    </row>
    <row r="143" spans="29:30" s="14" customFormat="1" x14ac:dyDescent="0.25">
      <c r="AC143" s="45"/>
      <c r="AD143" s="45"/>
    </row>
    <row r="144" spans="29:30" s="14" customFormat="1" x14ac:dyDescent="0.25">
      <c r="AC144" s="45"/>
      <c r="AD144" s="45"/>
    </row>
    <row r="145" spans="29:30" s="14" customFormat="1" x14ac:dyDescent="0.25">
      <c r="AC145" s="45"/>
      <c r="AD145" s="45"/>
    </row>
    <row r="146" spans="29:30" s="14" customFormat="1" x14ac:dyDescent="0.25">
      <c r="AC146" s="45"/>
      <c r="AD146" s="45"/>
    </row>
    <row r="147" spans="29:30" s="14" customFormat="1" x14ac:dyDescent="0.25">
      <c r="AC147" s="45"/>
      <c r="AD147" s="45"/>
    </row>
    <row r="148" spans="29:30" s="14" customFormat="1" x14ac:dyDescent="0.25">
      <c r="AC148" s="45"/>
      <c r="AD148" s="45"/>
    </row>
    <row r="149" spans="29:30" s="14" customFormat="1" x14ac:dyDescent="0.25">
      <c r="AC149" s="45"/>
      <c r="AD149" s="45"/>
    </row>
    <row r="150" spans="29:30" s="14" customFormat="1" x14ac:dyDescent="0.25">
      <c r="AC150" s="45"/>
      <c r="AD150" s="45"/>
    </row>
    <row r="151" spans="29:30" s="14" customFormat="1" x14ac:dyDescent="0.25">
      <c r="AC151" s="45"/>
      <c r="AD151" s="45"/>
    </row>
    <row r="152" spans="29:30" s="14" customFormat="1" x14ac:dyDescent="0.25">
      <c r="AC152" s="45"/>
      <c r="AD152" s="45"/>
    </row>
    <row r="153" spans="29:30" s="14" customFormat="1" x14ac:dyDescent="0.25">
      <c r="AC153" s="45"/>
      <c r="AD153" s="45"/>
    </row>
    <row r="154" spans="29:30" s="14" customFormat="1" x14ac:dyDescent="0.25">
      <c r="AC154" s="45"/>
      <c r="AD154" s="45"/>
    </row>
    <row r="155" spans="29:30" s="14" customFormat="1" x14ac:dyDescent="0.25">
      <c r="AC155" s="45"/>
      <c r="AD155" s="45"/>
    </row>
    <row r="156" spans="29:30" s="14" customFormat="1" x14ac:dyDescent="0.25">
      <c r="AC156" s="45"/>
      <c r="AD156" s="45"/>
    </row>
    <row r="157" spans="29:30" s="14" customFormat="1" x14ac:dyDescent="0.25">
      <c r="AC157" s="45"/>
      <c r="AD157" s="45"/>
    </row>
    <row r="158" spans="29:30" s="14" customFormat="1" x14ac:dyDescent="0.25">
      <c r="AC158" s="45"/>
      <c r="AD158" s="45"/>
    </row>
    <row r="159" spans="29:30" s="14" customFormat="1" x14ac:dyDescent="0.25">
      <c r="AC159" s="45"/>
      <c r="AD159" s="45"/>
    </row>
    <row r="160" spans="29:30" s="14" customFormat="1" x14ac:dyDescent="0.25">
      <c r="AC160" s="45"/>
      <c r="AD160" s="45"/>
    </row>
    <row r="161" spans="29:30" s="14" customFormat="1" x14ac:dyDescent="0.25">
      <c r="AC161" s="45"/>
      <c r="AD161" s="45"/>
    </row>
    <row r="162" spans="29:30" s="14" customFormat="1" x14ac:dyDescent="0.25">
      <c r="AC162" s="45"/>
      <c r="AD162" s="45"/>
    </row>
    <row r="163" spans="29:30" s="14" customFormat="1" x14ac:dyDescent="0.25">
      <c r="AC163" s="45"/>
      <c r="AD163" s="45"/>
    </row>
    <row r="164" spans="29:30" s="14" customFormat="1" x14ac:dyDescent="0.25">
      <c r="AC164" s="45"/>
      <c r="AD164" s="45"/>
    </row>
    <row r="165" spans="29:30" s="14" customFormat="1" x14ac:dyDescent="0.25">
      <c r="AC165" s="45"/>
      <c r="AD165" s="45"/>
    </row>
    <row r="166" spans="29:30" s="14" customFormat="1" x14ac:dyDescent="0.25">
      <c r="AC166" s="45"/>
      <c r="AD166" s="45"/>
    </row>
    <row r="167" spans="29:30" s="14" customFormat="1" x14ac:dyDescent="0.25">
      <c r="AC167" s="45"/>
      <c r="AD167" s="45"/>
    </row>
    <row r="168" spans="29:30" s="14" customFormat="1" x14ac:dyDescent="0.25">
      <c r="AC168" s="45"/>
      <c r="AD168" s="45"/>
    </row>
    <row r="169" spans="29:30" s="14" customFormat="1" x14ac:dyDescent="0.25">
      <c r="AC169" s="45"/>
      <c r="AD169" s="45"/>
    </row>
    <row r="170" spans="29:30" s="14" customFormat="1" x14ac:dyDescent="0.25">
      <c r="AC170" s="45"/>
      <c r="AD170" s="45"/>
    </row>
    <row r="171" spans="29:30" s="14" customFormat="1" x14ac:dyDescent="0.25">
      <c r="AC171" s="45"/>
      <c r="AD171" s="45"/>
    </row>
    <row r="172" spans="29:30" s="14" customFormat="1" x14ac:dyDescent="0.25">
      <c r="AC172" s="45"/>
      <c r="AD172" s="45"/>
    </row>
    <row r="173" spans="29:30" s="14" customFormat="1" x14ac:dyDescent="0.25">
      <c r="AC173" s="45"/>
      <c r="AD173" s="45"/>
    </row>
    <row r="174" spans="29:30" s="14" customFormat="1" x14ac:dyDescent="0.25">
      <c r="AC174" s="45"/>
      <c r="AD174" s="45"/>
    </row>
    <row r="175" spans="29:30" s="14" customFormat="1" x14ac:dyDescent="0.25">
      <c r="AC175" s="45"/>
      <c r="AD175" s="45"/>
    </row>
    <row r="176" spans="29:30" s="14" customFormat="1" x14ac:dyDescent="0.25">
      <c r="AC176" s="45"/>
      <c r="AD176" s="45"/>
    </row>
    <row r="177" spans="29:30" s="14" customFormat="1" x14ac:dyDescent="0.25">
      <c r="AC177" s="45"/>
      <c r="AD177" s="45"/>
    </row>
    <row r="178" spans="29:30" s="14" customFormat="1" x14ac:dyDescent="0.25">
      <c r="AC178" s="45"/>
      <c r="AD178" s="45"/>
    </row>
    <row r="179" spans="29:30" s="14" customFormat="1" x14ac:dyDescent="0.25">
      <c r="AC179" s="45"/>
      <c r="AD179" s="45"/>
    </row>
    <row r="180" spans="29:30" s="14" customFormat="1" x14ac:dyDescent="0.25">
      <c r="AC180" s="45"/>
      <c r="AD180" s="45"/>
    </row>
    <row r="181" spans="29:30" s="14" customFormat="1" x14ac:dyDescent="0.25">
      <c r="AC181" s="45"/>
      <c r="AD181" s="45"/>
    </row>
    <row r="182" spans="29:30" s="14" customFormat="1" x14ac:dyDescent="0.25">
      <c r="AC182" s="45"/>
      <c r="AD182" s="45"/>
    </row>
    <row r="183" spans="29:30" s="14" customFormat="1" x14ac:dyDescent="0.25">
      <c r="AC183" s="45"/>
      <c r="AD183" s="45"/>
    </row>
  </sheetData>
  <mergeCells count="34">
    <mergeCell ref="V20:V34"/>
    <mergeCell ref="W20:W34"/>
    <mergeCell ref="X20:X34"/>
    <mergeCell ref="Y20:Y34"/>
    <mergeCell ref="F16:F17"/>
    <mergeCell ref="G16:G17"/>
    <mergeCell ref="X15:Y16"/>
    <mergeCell ref="Q15:Q17"/>
    <mergeCell ref="R15:S16"/>
    <mergeCell ref="T15:U16"/>
    <mergeCell ref="V15:W16"/>
    <mergeCell ref="C19:C34"/>
    <mergeCell ref="N15:O16"/>
    <mergeCell ref="P15:P17"/>
    <mergeCell ref="J15:J17"/>
    <mergeCell ref="K15:K17"/>
    <mergeCell ref="L15:L17"/>
    <mergeCell ref="M15:M17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H15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Электроэнергия</vt:lpstr>
      <vt:lpstr>Теплоэнергия</vt:lpstr>
      <vt:lpstr>Хоз. пит. вода</vt:lpstr>
      <vt:lpstr>Пром. вода</vt:lpstr>
      <vt:lpstr>Хоз. фек. канал.</vt:lpstr>
      <vt:lpstr>Пром. канал.</vt:lpstr>
      <vt:lpstr>'Пром. вода'!_Toc70416010</vt:lpstr>
      <vt:lpstr>'Пром. канал.'!_Toc70416010</vt:lpstr>
      <vt:lpstr>Теплоэнергия!_Toc70416010</vt:lpstr>
      <vt:lpstr>'Хоз. пит. вода'!_Toc70416010</vt:lpstr>
      <vt:lpstr>'Хоз. фек. канал.'!_Toc70416010</vt:lpstr>
      <vt:lpstr>Электроэнергия!_Toc70416010</vt:lpstr>
      <vt:lpstr>'Пром. вода'!_Toc70416011</vt:lpstr>
      <vt:lpstr>'Пром. канал.'!_Toc70416011</vt:lpstr>
      <vt:lpstr>Теплоэнергия!_Toc70416011</vt:lpstr>
      <vt:lpstr>'Хоз. пит. вода'!_Toc70416011</vt:lpstr>
      <vt:lpstr>'Хоз. фек. канал.'!_Toc70416011</vt:lpstr>
      <vt:lpstr>Электроэнергия!_Toc70416011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2021-07-15T10:46:42Z</dcterms:modified>
</cp:coreProperties>
</file>