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Электроэнергия" sheetId="1" r:id="rId1"/>
    <sheet name="Теплоэнергия" sheetId="2" r:id="rId2"/>
    <sheet name="Хоз. пит. вода" sheetId="3" r:id="rId3"/>
    <sheet name="Пром. вода" sheetId="4" r:id="rId4"/>
    <sheet name="Хоз. фек. канал." sheetId="5" r:id="rId5"/>
    <sheet name="Пром. канал." sheetId="6" r:id="rId6"/>
  </sheets>
  <externalReferences>
    <externalReference r:id="rId7"/>
    <externalReference r:id="rId8"/>
  </externalReferences>
  <definedNames>
    <definedName name="_Toc70416010" localSheetId="3">'Пром. вода'!$Z$1</definedName>
    <definedName name="_Toc70416010" localSheetId="5">'Пром. канал.'!$Z$1</definedName>
    <definedName name="_Toc70416010" localSheetId="1">Теплоэнергия!$Z$1</definedName>
    <definedName name="_Toc70416010" localSheetId="2">'Хоз. пит. вода'!$Z$1</definedName>
    <definedName name="_Toc70416010" localSheetId="4">'Хоз. фек. канал.'!$Z$1</definedName>
    <definedName name="_Toc70416010" localSheetId="0">Электроэнергия!$Z$1</definedName>
    <definedName name="_Toc70416011" localSheetId="3">'Пром. вода'!$AA$6</definedName>
    <definedName name="_Toc70416011" localSheetId="5">'Пром. канал.'!$AA$6</definedName>
    <definedName name="_Toc70416011" localSheetId="1">Теплоэнергия!$AA$6</definedName>
    <definedName name="_Toc70416011" localSheetId="2">'Хоз. пит. вода'!$AA$6</definedName>
    <definedName name="_Toc70416011" localSheetId="4">'Хоз. фек. канал.'!$AA$6</definedName>
    <definedName name="_Toc70416011" localSheetId="0">Электроэнергия!$AA$6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8" i="1" l="1"/>
  <c r="AB31" i="1"/>
  <c r="AB32" i="1"/>
  <c r="J26" i="6" l="1"/>
  <c r="AB26" i="6" l="1"/>
  <c r="AB25" i="6"/>
  <c r="AB24" i="6"/>
  <c r="AB23" i="6"/>
  <c r="AB22" i="6"/>
  <c r="AB21" i="6"/>
  <c r="AB20" i="6"/>
  <c r="L29" i="4"/>
  <c r="AC24" i="1" l="1"/>
  <c r="AC23" i="1"/>
  <c r="AC22" i="1"/>
  <c r="AC21" i="1"/>
  <c r="AC20" i="1"/>
  <c r="M21" i="6"/>
  <c r="M22" i="6"/>
  <c r="M23" i="6"/>
  <c r="M24" i="6"/>
  <c r="M25" i="6"/>
  <c r="M26" i="6"/>
  <c r="M20" i="6"/>
  <c r="M21" i="5"/>
  <c r="M22" i="5"/>
  <c r="M23" i="5"/>
  <c r="M20" i="5"/>
  <c r="M21" i="4"/>
  <c r="M22" i="4"/>
  <c r="M23" i="4"/>
  <c r="M24" i="4"/>
  <c r="M25" i="4"/>
  <c r="M20" i="4"/>
  <c r="M20" i="3"/>
  <c r="M20" i="2"/>
  <c r="M57" i="1"/>
  <c r="M58" i="1"/>
  <c r="M59" i="1"/>
  <c r="M56" i="1"/>
  <c r="M21" i="1"/>
  <c r="M22" i="1"/>
  <c r="M23" i="1"/>
  <c r="M24" i="1"/>
  <c r="M25" i="1"/>
  <c r="M26" i="1"/>
  <c r="M27" i="1"/>
  <c r="M28" i="1"/>
  <c r="M30" i="1"/>
  <c r="M31" i="1"/>
  <c r="M32" i="1"/>
  <c r="M33" i="1"/>
  <c r="M20" i="1"/>
  <c r="J59" i="1" l="1"/>
  <c r="P19" i="2" l="1"/>
  <c r="Q19" i="2"/>
  <c r="P19" i="1"/>
  <c r="Q19" i="1"/>
  <c r="P19" i="6"/>
  <c r="Q19" i="6"/>
  <c r="P19" i="5"/>
  <c r="Q19" i="5"/>
  <c r="P19" i="4"/>
  <c r="Q19" i="4"/>
  <c r="P19" i="3"/>
  <c r="Q19" i="3"/>
  <c r="J23" i="6"/>
  <c r="J20" i="2" l="1"/>
  <c r="G33" i="1" l="1"/>
  <c r="K33" i="1"/>
  <c r="K19" i="1" s="1"/>
  <c r="F33" i="1" l="1"/>
  <c r="J25" i="4"/>
  <c r="J32" i="1" l="1"/>
  <c r="J31" i="1"/>
  <c r="J28" i="1"/>
  <c r="J23" i="1"/>
  <c r="L47" i="1" l="1"/>
  <c r="L49" i="1"/>
  <c r="L57" i="1"/>
  <c r="J39" i="1"/>
  <c r="L39" i="1" s="1"/>
  <c r="J38" i="1"/>
  <c r="J37" i="1"/>
  <c r="J36" i="1"/>
  <c r="J35" i="1"/>
  <c r="L20" i="4"/>
  <c r="N19" i="4"/>
  <c r="K19" i="4"/>
  <c r="J19" i="4"/>
  <c r="K23" i="6"/>
  <c r="K19" i="6" s="1"/>
  <c r="J58" i="1"/>
  <c r="J56" i="1"/>
  <c r="L56" i="1" s="1"/>
  <c r="J55" i="1"/>
  <c r="L55" i="1" s="1"/>
  <c r="J54" i="1"/>
  <c r="J53" i="1"/>
  <c r="J52" i="1"/>
  <c r="J51" i="1"/>
  <c r="J50" i="1"/>
  <c r="J49" i="1"/>
  <c r="J48" i="1"/>
  <c r="L48" i="1" s="1"/>
  <c r="J47" i="1"/>
  <c r="J46" i="1"/>
  <c r="J45" i="1"/>
  <c r="J44" i="1"/>
  <c r="J43" i="1"/>
  <c r="J42" i="1"/>
  <c r="J41" i="1"/>
  <c r="L41" i="1" s="1"/>
  <c r="J40" i="1"/>
  <c r="L40" i="1" s="1"/>
  <c r="J34" i="1"/>
  <c r="J30" i="1"/>
  <c r="J29" i="1"/>
  <c r="J27" i="1"/>
  <c r="J26" i="1"/>
  <c r="J25" i="1"/>
  <c r="J24" i="1"/>
  <c r="J22" i="1"/>
  <c r="J21" i="1"/>
  <c r="J20" i="1"/>
  <c r="J57" i="1"/>
  <c r="O26" i="6"/>
  <c r="J24" i="6"/>
  <c r="N23" i="6"/>
  <c r="O22" i="6"/>
  <c r="J21" i="6"/>
  <c r="N21" i="6" s="1"/>
  <c r="N19" i="6" s="1"/>
  <c r="J20" i="6"/>
  <c r="O20" i="6" s="1"/>
  <c r="J25" i="6"/>
  <c r="N25" i="6" s="1"/>
  <c r="J23" i="5"/>
  <c r="O20" i="4"/>
  <c r="O24" i="4"/>
  <c r="O23" i="4"/>
  <c r="L23" i="4"/>
  <c r="J23" i="4"/>
  <c r="J19" i="6" l="1"/>
  <c r="O19" i="6"/>
  <c r="J33" i="1"/>
  <c r="O23" i="5"/>
  <c r="L54" i="1"/>
  <c r="L46" i="1"/>
  <c r="L38" i="1"/>
  <c r="L53" i="1"/>
  <c r="L45" i="1"/>
  <c r="L37" i="1"/>
  <c r="L52" i="1"/>
  <c r="L44" i="1"/>
  <c r="L36" i="1"/>
  <c r="N57" i="1"/>
  <c r="L51" i="1"/>
  <c r="L43" i="1"/>
  <c r="L35" i="1"/>
  <c r="N56" i="1"/>
  <c r="L50" i="1"/>
  <c r="L42" i="1"/>
  <c r="L34" i="1"/>
  <c r="J19" i="1" l="1"/>
  <c r="J22" i="5"/>
  <c r="J21" i="5"/>
  <c r="J21" i="4"/>
  <c r="J22" i="4"/>
  <c r="J24" i="4"/>
  <c r="L24" i="4" s="1"/>
  <c r="N21" i="5" l="1"/>
  <c r="J19" i="5"/>
  <c r="O22" i="5"/>
  <c r="O19" i="5" s="1"/>
  <c r="J20" i="3"/>
  <c r="AC20" i="3" l="1"/>
  <c r="AD58" i="1" l="1"/>
  <c r="AC33" i="1"/>
  <c r="AD32" i="1"/>
  <c r="AD21" i="6" l="1"/>
  <c r="AC26" i="6"/>
  <c r="AD26" i="6" s="1"/>
  <c r="AC25" i="6"/>
  <c r="AD25" i="6" s="1"/>
  <c r="AC24" i="6"/>
  <c r="AD24" i="6" s="1"/>
  <c r="AC23" i="6"/>
  <c r="AD23" i="6" s="1"/>
  <c r="AC22" i="6"/>
  <c r="AD22" i="6" s="1"/>
  <c r="AC20" i="6"/>
  <c r="AD20" i="6" s="1"/>
  <c r="AD20" i="3"/>
  <c r="AD21" i="5"/>
  <c r="AD22" i="5"/>
  <c r="AD23" i="5"/>
  <c r="AE23" i="5" s="1"/>
  <c r="AD20" i="5"/>
  <c r="AC25" i="4"/>
  <c r="AD25" i="4" s="1"/>
  <c r="AC22" i="4"/>
  <c r="AD22" i="4" s="1"/>
  <c r="AE22" i="4" s="1"/>
  <c r="AC21" i="4"/>
  <c r="AD21" i="4" s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E32" i="1"/>
  <c r="AD33" i="1"/>
  <c r="AD59" i="1"/>
  <c r="N32" i="1" l="1"/>
  <c r="N58" i="1" l="1"/>
  <c r="AE58" i="1"/>
  <c r="L33" i="1"/>
  <c r="AE33" i="1"/>
  <c r="L32" i="1"/>
  <c r="L58" i="1"/>
  <c r="N33" i="1"/>
  <c r="L26" i="6" l="1"/>
  <c r="AE26" i="6"/>
  <c r="AE25" i="6"/>
  <c r="AE24" i="6"/>
  <c r="AE23" i="6"/>
  <c r="AE22" i="6"/>
  <c r="AE21" i="6"/>
  <c r="AE20" i="6"/>
  <c r="L21" i="5"/>
  <c r="L23" i="5"/>
  <c r="L20" i="5"/>
  <c r="AE22" i="5"/>
  <c r="AE21" i="5"/>
  <c r="AE20" i="5"/>
  <c r="L22" i="4"/>
  <c r="AE25" i="4"/>
  <c r="L22" i="5" l="1"/>
  <c r="O25" i="4"/>
  <c r="O19" i="4" s="1"/>
  <c r="L21" i="6"/>
  <c r="L22" i="6"/>
  <c r="N19" i="5"/>
  <c r="L25" i="6"/>
  <c r="L25" i="4"/>
  <c r="L19" i="4" s="1"/>
  <c r="L24" i="6"/>
  <c r="L21" i="4"/>
  <c r="AE21" i="4"/>
  <c r="O21" i="4"/>
  <c r="L20" i="6"/>
  <c r="L23" i="6"/>
  <c r="L19" i="6" l="1"/>
  <c r="O19" i="1" l="1"/>
  <c r="AE20" i="3"/>
  <c r="N19" i="3" l="1"/>
  <c r="O19" i="3"/>
  <c r="N19" i="2" l="1"/>
  <c r="O19" i="2" l="1"/>
  <c r="AE22" i="1"/>
  <c r="N21" i="1" l="1"/>
  <c r="AE21" i="1"/>
  <c r="N29" i="1"/>
  <c r="AE29" i="1"/>
  <c r="N20" i="1"/>
  <c r="AE20" i="1"/>
  <c r="N22" i="1"/>
  <c r="N30" i="1"/>
  <c r="AE30" i="1"/>
  <c r="N31" i="1"/>
  <c r="AE31" i="1"/>
  <c r="N26" i="1"/>
  <c r="AE26" i="1"/>
  <c r="N27" i="1"/>
  <c r="AE27" i="1"/>
  <c r="N28" i="1"/>
  <c r="AE28" i="1"/>
  <c r="AE23" i="1"/>
  <c r="N24" i="1"/>
  <c r="AE24" i="1"/>
  <c r="N25" i="1"/>
  <c r="AE25" i="1"/>
  <c r="N23" i="1"/>
  <c r="L20" i="1"/>
  <c r="L21" i="1"/>
  <c r="L22" i="1"/>
  <c r="L24" i="1"/>
  <c r="L25" i="1"/>
  <c r="L26" i="1"/>
  <c r="L27" i="1"/>
  <c r="L28" i="1"/>
  <c r="L29" i="1"/>
  <c r="L30" i="1"/>
  <c r="L31" i="1"/>
  <c r="L20" i="2" l="1"/>
  <c r="L23" i="1"/>
  <c r="K13" i="4" l="1"/>
  <c r="L13" i="4" s="1"/>
  <c r="L19" i="5"/>
  <c r="K19" i="5"/>
  <c r="K19" i="3"/>
  <c r="K13" i="6" l="1"/>
  <c r="L20" i="3"/>
  <c r="L19" i="3" s="1"/>
  <c r="J19" i="3"/>
  <c r="K13" i="3" s="1"/>
  <c r="L13" i="3" s="1"/>
  <c r="K13" i="5" l="1"/>
  <c r="L13" i="5" s="1"/>
  <c r="J19" i="2"/>
  <c r="K13" i="2" s="1"/>
  <c r="L19" i="2"/>
  <c r="K19" i="2"/>
  <c r="AE59" i="1" l="1"/>
  <c r="L59" i="1"/>
  <c r="L19" i="1" s="1"/>
  <c r="N59" i="1"/>
  <c r="N19" i="1"/>
  <c r="K13" i="1"/>
</calcChain>
</file>

<file path=xl/sharedStrings.xml><?xml version="1.0" encoding="utf-8"?>
<sst xmlns="http://schemas.openxmlformats.org/spreadsheetml/2006/main" count="774" uniqueCount="146">
  <si>
    <t>№ п/п</t>
  </si>
  <si>
    <t>Информация о плановых и фактических объемах предоставления регулируемых услуг</t>
  </si>
  <si>
    <t>Отчет о прибылях и убытках*</t>
  </si>
  <si>
    <t>Сумма инвестиционной программы</t>
  </si>
  <si>
    <t>Наименование регулируемых услуг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</si>
  <si>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</si>
  <si>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</si>
  <si>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</si>
  <si>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</t>
  </si>
  <si>
    <t>причины отклонения</t>
  </si>
  <si>
    <t>план</t>
  </si>
  <si>
    <t>факт</t>
  </si>
  <si>
    <t>Информация о фактических условиях и размерах финансирования инвестиционной программы, тыс. тенге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</si>
  <si>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</si>
  <si>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>Разъяснение причин отклонения достигнутых фактических показателей от показателей в утвержденной инвестиционной программе</t>
  </si>
  <si>
    <t>Оценка повышения качества и надежности предоставляемых регулируемых услуг</t>
  </si>
  <si>
    <t>собственные средства</t>
  </si>
  <si>
    <t>Заемные средства</t>
  </si>
  <si>
    <t>Бюджетные средства</t>
  </si>
  <si>
    <t>Улучшение производственных показателей, %, по годам реализации в зависимости от утвержденной инвестиционной программы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</si>
  <si>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</si>
  <si>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</t>
  </si>
  <si>
    <t>Снижение аварийности, по годам реализации в зависимости от утвержденной инвестиционной программы</t>
  </si>
  <si>
    <t>факт прошлого года</t>
  </si>
  <si>
    <t>факт текущего года</t>
  </si>
  <si>
    <t>Приложение 5</t>
  </si>
  <si>
    <t>к Правилам осуществления</t>
  </si>
  <si>
    <t>деятельности субъектами</t>
  </si>
  <si>
    <t>естественных монополий</t>
  </si>
  <si>
    <t>Форма 1</t>
  </si>
  <si>
    <t>Информация</t>
  </si>
  <si>
    <t>наименование субъекта естественной монополии, вид деятельности</t>
  </si>
  <si>
    <t>БРП "ЭнергоСети" ТОО "Kazakhmys Distribution (Казахмыс Дистрибьюшн)", услуги по передаче и распределению электрической энергии</t>
  </si>
  <si>
    <t>Всего по услуге</t>
  </si>
  <si>
    <t>услуга</t>
  </si>
  <si>
    <t>шт</t>
  </si>
  <si>
    <t>шт.</t>
  </si>
  <si>
    <t>Строительство кабельной эстакады от РУ-10 кВ ЦРП-2 до РУ-10 кВ ЦРП-2А Часть 2</t>
  </si>
  <si>
    <t>Строительство кабельной эстакады от ЦРП-2 до ЦРП-6 Часть 2</t>
  </si>
  <si>
    <t>БРП "ЭнергоСети" ТОО "Kazakhmys Distribution (Казахмыс Дистрибьюшн)", услуги по передачи и распределения тепловой энергии</t>
  </si>
  <si>
    <t>БРП "ЭнергоСети" ТОО "Kazakhmys Distribution (Казахмыс Дистрибьюшн)", услуги по подаче воды по распределительным сетям (хоз. питьевое водоснабжение)</t>
  </si>
  <si>
    <t>БРП "ЭнергоСети" ТОО "Kazakhmys Distribution (Казахмыс Дистрибьюшн)", услуги по подаче воды по распределительным сетям (промышленное водоснабжение)</t>
  </si>
  <si>
    <t>БРП "ЭнергоСети" ТОО "Kazakhmys Distribution (Казахмыс Дистрибьюшн)", услуги по отводу сточных вод (хоз. фекальная канализация)</t>
  </si>
  <si>
    <t>БРП "ЭнергоСети" ТОО "Kazakhmys Distribution (Казахмыс Дистрибьюшн)", услуги по отводу сточных вод (промышленная канализация)</t>
  </si>
  <si>
    <t>1</t>
  </si>
  <si>
    <t>к-т</t>
  </si>
  <si>
    <t>Реализация проекта: Установка модульного водоперехватывающего технологического комплекса на  Балхашской промышленной площадке</t>
  </si>
  <si>
    <t>-</t>
  </si>
  <si>
    <t xml:space="preserve">ИК </t>
  </si>
  <si>
    <t>41-991515-73</t>
  </si>
  <si>
    <t>41-991515-58</t>
  </si>
  <si>
    <t>41-991515-71</t>
  </si>
  <si>
    <t>41-991515-85</t>
  </si>
  <si>
    <t>41_991515_93</t>
  </si>
  <si>
    <t>41_991515_94</t>
  </si>
  <si>
    <t>41_991515_90</t>
  </si>
  <si>
    <t>41-991515-83</t>
  </si>
  <si>
    <t>41-991515-84</t>
  </si>
  <si>
    <t>41-991515-72</t>
  </si>
  <si>
    <t>41-991515-67</t>
  </si>
  <si>
    <t>41-991515-45</t>
  </si>
  <si>
    <t>41-991515-57</t>
  </si>
  <si>
    <t>41_991515_92</t>
  </si>
  <si>
    <t>41-991515-81</t>
  </si>
  <si>
    <t>Ведутся процедуры по закупке товаров, работ и услуг</t>
  </si>
  <si>
    <t>Повышение качества и надежности предоставляемых услуг будет оцениваться после реализации мероприятия</t>
  </si>
  <si>
    <t>Повышение качества и надежности предоставляемых услуг будет оцениваться после завершения строительства эстакады</t>
  </si>
  <si>
    <t>Услуга по подаче воды по распределительным сетям (хоз. питьевое водоснабжение)</t>
  </si>
  <si>
    <t>Услуга по передачи и распределения тепловой энергии</t>
  </si>
  <si>
    <t>Услуга по подаче воды по распределительным сетям (промышленное водоснабжение)</t>
  </si>
  <si>
    <t>Услуга по отводу сточных вод (хоз. фекальная канализация)</t>
  </si>
  <si>
    <t>Услуга по отводу сточных вод (промышленная канализация)</t>
  </si>
  <si>
    <t>Реализация проекта "Модернизация системы сбора и передачи данных приборов и оборудования насосной станции хоз. питьевой воды в районе ЖДК"</t>
  </si>
  <si>
    <t>2022 год</t>
  </si>
  <si>
    <t xml:space="preserve">об исполнении инвестиционной программы на 2022 год  по итогам  I полугодия 2022 года       </t>
  </si>
  <si>
    <t>Реализация проекта по установке видеонаблюдения на насосной станции "Промвода"</t>
  </si>
  <si>
    <t>Капитальный ремонт аварийных строительных конструкций эстакады технологических трубопроводов цеха ТВС БРП "Энергосети" - 1 этап</t>
  </si>
  <si>
    <t>Приобретение вспомогательных механизмов (ТАЛЬ РУЧНАЯ ЦЕПНАЯ Г/П 3ТН. Н=6М)</t>
  </si>
  <si>
    <t>Приобретение вспомогательных механизмов (ДОМКРАТ ГИДРАВЛИЧЕСКИЙ ДГ-50)</t>
  </si>
  <si>
    <t>Реализация проекта "Установка видеонаблюдения на насосной станции "Фекальная 1А"</t>
  </si>
  <si>
    <t>Замена напорного коллектора диаметром 600 мм от насосной станций ПЛК-2 до камеры переключения №6 с протяженностью 140 м (правый-80 м, левый-60 м).</t>
  </si>
  <si>
    <t>Реализация проекта по установке систем видеонаблюдения на насосной станции ПЛК - 2,  ПЛК-2А</t>
  </si>
  <si>
    <t>Реализация проекта: Капитальный ремонт участка центрального проходного тоннеля от камеры №3 до РМЗ БРП «ЭнергоСети»</t>
  </si>
  <si>
    <t>Строительство камер трансформаторов ЦРП-1 Т-127, Т-128</t>
  </si>
  <si>
    <t>Реализация проекта "Реконструкция ОРУ-110 кВ ЦРП-2" 1 этап</t>
  </si>
  <si>
    <t>Замена полимерных изоляторов на стеклянные изоляторы ВЛ-220</t>
  </si>
  <si>
    <t>Строительство кабельной эстакады от РУ-10 кВ ЦРП-2 до РУ-10 кВ ЦРП-2А Часть 3</t>
  </si>
  <si>
    <t>Капитальный ремонт трансформатора 6300 кВА</t>
  </si>
  <si>
    <t>Строительство кабельной эстакады от ЦРП-2 до ЦРП-6 Часть 3</t>
  </si>
  <si>
    <t>Установка пожарной сигнализации в помещениях подстанции "Конырат-220"</t>
  </si>
  <si>
    <t>Приобретение оборудования для проведения кап. ремонтов</t>
  </si>
  <si>
    <t xml:space="preserve">Замена ограждения открытого распределительного устройства ГПП - 4 </t>
  </si>
  <si>
    <t>Реализация проекта "Монтаж коллектора хоз. фекальной канализации от склада №1 до колодца гасителя"</t>
  </si>
  <si>
    <t>План, тыс. тенге без НДС</t>
  </si>
  <si>
    <t>Факт, тыс. тенге без НДС</t>
  </si>
  <si>
    <t>отклонение, тыс. тенге без НДС</t>
  </si>
  <si>
    <t>Амортизация, тыс. тенге без НДС</t>
  </si>
  <si>
    <t>Прибыль, тыс. тенге без НДС</t>
  </si>
  <si>
    <t>Замена КРУН 10 кВ подстанция ГПП-4А</t>
  </si>
  <si>
    <t>Замена трансформатора 2000 кВА</t>
  </si>
  <si>
    <t>ВЫКЛЮЧАТЕЛЬ НАГРУЗКИ ВНП-16/400-10З У3</t>
  </si>
  <si>
    <t>УСТРОЙСТВО БЛОКИРУЮЩЕЕ НОСИМОЕ С ВТЯЖНОЙ ЛЕНТОЙ 2-ХПЛЕЧЕВОЕ</t>
  </si>
  <si>
    <t>ПОСТ ОБЖИМНОГО КРЕПЛЕНИЯ НА КРОМКЕ ТРАНСФОРМАТОРА Н1200ММ</t>
  </si>
  <si>
    <t>ПОСТ ОБЖИМНОГО КРЕПЛЕНИЯ НА РАБОЧЕЙ ПОВЕРХНОСТИ Н1800ММ</t>
  </si>
  <si>
    <t>ПЕТЛЯ АНКЕРНАЯ СТАЛЬНАЯ L100СМ</t>
  </si>
  <si>
    <t>ПЕТЛЯ АНКЕРНАЯ СТАЛЬНАЯ L200СМ</t>
  </si>
  <si>
    <t>РАЗЪЕДИНИТЕЛЬ РВ-10/1000 С ПРИВОДОМ ПР-10</t>
  </si>
  <si>
    <t>МУФТА ПЕРЕХОДНАЯ (3П+3Б)СПТ-10-150/240(Б)</t>
  </si>
  <si>
    <t>МУФТА ПЕРЕХОДНАЯ (3П+3Б)СПТ-10-70/120(Б)</t>
  </si>
  <si>
    <t>МУФТА КОНЦЕВАЯ НАРУЖНЕЙ УСТАНОВКИ3КНТП 10-70/120</t>
  </si>
  <si>
    <t>МУФТА КОНЦЕВАЯ НАР. УСТАН.3КНТП 10-150/240</t>
  </si>
  <si>
    <t>ТРАНСФОРМАТОР ТОКА ТПЛ-10 400/5</t>
  </si>
  <si>
    <t>ТРАНСФОРМАТОРТПЛ-10 100/5</t>
  </si>
  <si>
    <t>КАБЕЛЬ КВВГЭ 10Х2,5</t>
  </si>
  <si>
    <t>КАБЕЛЬ КВВГЭ 4X2.5</t>
  </si>
  <si>
    <t>КАБЕЛЬ КВВГЭ 27Х1,5</t>
  </si>
  <si>
    <t>ЗАЖИМ АППАРАТНЫЙ ПРЕССУЕМЫЙ А2А-300-4</t>
  </si>
  <si>
    <t>ЗАЖИМ АППАРАТНЫЙ ПРЕССУЕМЫЙ А4А-240-8 П</t>
  </si>
  <si>
    <t>МУФТА СОЕДИНИТЕЛЬНАЯ 3ПСТ-10-70/120(Б) С БОЛТОВЫМ СОЕДИНЕН</t>
  </si>
  <si>
    <t>МУФТА СОЕДИНИТЕЛЬНАЯ 3ПСТ-10-150/240(Б) С БОЛТОВЫМ СОЕДИНЕН</t>
  </si>
  <si>
    <t>РАЗЪЕДИНИТЕЛЬ ГОРИЗОНТАЛЬНО-ПОВОРОТНЫЙ РГП110 СЭЩ 110/1250КВ</t>
  </si>
  <si>
    <t>ИНСТРУМЕНТ ДЛЯ СНЯТИЯ ИЗОЛЯЦИИ ИПС-3</t>
  </si>
  <si>
    <t>м</t>
  </si>
  <si>
    <t>Разработка проекта установка автоматической системы пожаротушения и пожарной сигнализаций в помещениях насосной станции Фекальная -1А ЦТВС</t>
  </si>
  <si>
    <t>Разработка проектов систем пожарной сигнализации и пожаротушения объектов ЦЭСиП</t>
  </si>
  <si>
    <t>Договор заключен. Подрядная организация ведет подготовительные работы</t>
  </si>
  <si>
    <t>Ведутся процедуры по закупке товаров, работ и услуг.</t>
  </si>
  <si>
    <t>Разработка проекта установка автоматической пожарной сигнализаций помещений слесарно-мастерской насосной службы ЦТВС</t>
  </si>
  <si>
    <t>Приобретение автомобиля УАЗ</t>
  </si>
  <si>
    <t>Договор заключен. Ожидается поставка ТМЦ.</t>
  </si>
  <si>
    <t>Договор заключен. Ведется поставка ТМЦ.</t>
  </si>
  <si>
    <t>Договоры заключены на 15 из 22 позиций. По заключенным договорам ожидается поставка (одна позиция (3 штуки ВНП) поставлены). По незаключенным позициям ведутся процедуры по закупке товаров, работ и услуг.</t>
  </si>
  <si>
    <t>Договор заключен. Ведутся работы подрядной организацией.</t>
  </si>
  <si>
    <t>Договор заключен. Подрядная организация ведет подготовительные работы.</t>
  </si>
  <si>
    <t>Приобретение запорной арматуры</t>
  </si>
  <si>
    <t>Замена обратного трубопровода тепловых сетей Ø630х10 на эстакаде возле здания сгустительного цеха МОФ.</t>
  </si>
  <si>
    <t>Услуга по передаче и распределению электрической энергии</t>
  </si>
  <si>
    <t>Повышение качества и надежности предоставляемых услуг будет оцениваться после реализации мероприятия (ведуться подготовительные работы для монтажа оборудования)</t>
  </si>
  <si>
    <t>Договор заключен. Ведутся подготовительные работы подрядной организацией</t>
  </si>
  <si>
    <t>Реализация проекта "Установка системы видеонаблюдения/ст ЦРП-2, ЦРП-2а, ГПП-3, ГПП-4а, ЦРП-6, ЦРП-5, ЦРП-1</t>
  </si>
  <si>
    <t>Приобретение трансформатора однофазного напряжения 10 КВ</t>
  </si>
  <si>
    <t>Приобретение токарно-винорезного станка</t>
  </si>
  <si>
    <t>Приобретение промышленного пылесоса (ПРОМЫШЛЕННЫЙ ДВУХМОТОРНЫЙ ПЫЛЕСОС 2Х1150 ВТ, 230 В, ОБЪЕМ КОНТЕЙНЕРА 70 Л, 2Х2900 Л/М, 23 КПА, 67 ДБА)</t>
  </si>
  <si>
    <t>Приобретение панели управления насосной станции (ПАНЕЛЬ УПРАВЛЕНИЯ СЕНСОРНАЯ 17'' 128Х1024 8 ГБ IP65)</t>
  </si>
  <si>
    <t>Внедрение программы "Учет СИЗ (СО)" для ЦЭСиП</t>
  </si>
  <si>
    <t>Приобретение оборудования для улучшение условий труда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</si>
</sst>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₽_-;\-* #,##0.00\ _₽_-;_-* &quot;-&quot;??\ _₽_-;_-@_-"/>
    <numFmt numFmtId="164" formatCode="#,##0.00_ ;\-#,##0.00\ "/>
    <numFmt numFmtId="165" formatCode="0.0000"/>
    <numFmt numFmtId="166" formatCode="#,##0.000"/>
    <numFmt numFmtId="167" formatCode="_-* #,##0.0000\ _₽_-;\-* #,##0.0000\ _₽_-;_-* &quot;-&quot;??\ _₽_-;_-@_-"/>
    <numFmt numFmtId="168" formatCode="_-* #,##0.0000\ _₽_-;\-* #,##0.0000\ _₽_-;_-* &quot;-&quot;????\ _₽_-;_-@_-"/>
    <numFmt numFmtId="169" formatCode="_-* #,##0\ _₽_-;\-* #,##0\ _₽_-;_-* &quot;-&quot;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i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85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43" fontId="3" fillId="0" borderId="0" xfId="2" applyFont="1"/>
    <xf numFmtId="0" fontId="3" fillId="0" borderId="0" xfId="0" applyFont="1" applyAlignment="1">
      <alignment horizontal="right"/>
    </xf>
    <xf numFmtId="4" fontId="3" fillId="0" borderId="0" xfId="0" applyNumberFormat="1" applyFont="1"/>
    <xf numFmtId="0" fontId="4" fillId="0" borderId="0" xfId="0" applyFont="1" applyAlignment="1">
      <alignment horizontal="right" vertical="center"/>
    </xf>
    <xf numFmtId="4" fontId="7" fillId="0" borderId="0" xfId="0" applyNumberFormat="1" applyFont="1"/>
    <xf numFmtId="4" fontId="8" fillId="0" borderId="0" xfId="0" applyNumberFormat="1" applyFont="1"/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vertical="center" wrapText="1"/>
    </xf>
    <xf numFmtId="0" fontId="9" fillId="0" borderId="42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4" fontId="9" fillId="0" borderId="26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4" fontId="9" fillId="0" borderId="16" xfId="0" applyNumberFormat="1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2" applyFont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43" fontId="3" fillId="0" borderId="19" xfId="2" applyFont="1" applyFill="1" applyBorder="1" applyAlignment="1">
      <alignment horizontal="center" vertical="center" wrapText="1"/>
    </xf>
    <xf numFmtId="43" fontId="3" fillId="0" borderId="27" xfId="2" applyFont="1" applyFill="1" applyBorder="1" applyAlignment="1">
      <alignment horizontal="center" vertical="center" wrapText="1"/>
    </xf>
    <xf numFmtId="43" fontId="3" fillId="0" borderId="14" xfId="2" applyFont="1" applyFill="1" applyBorder="1" applyAlignment="1">
      <alignment horizontal="center" vertical="center" wrapText="1"/>
    </xf>
    <xf numFmtId="43" fontId="4" fillId="0" borderId="18" xfId="2" applyFont="1" applyFill="1" applyBorder="1" applyAlignment="1">
      <alignment horizontal="center" vertical="center" wrapText="1"/>
    </xf>
    <xf numFmtId="43" fontId="3" fillId="0" borderId="55" xfId="2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3" fontId="8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3" fontId="3" fillId="0" borderId="19" xfId="2" applyFont="1" applyBorder="1" applyAlignment="1">
      <alignment horizontal="center" vertical="center" wrapText="1"/>
    </xf>
    <xf numFmtId="43" fontId="3" fillId="0" borderId="27" xfId="2" applyFont="1" applyBorder="1" applyAlignment="1">
      <alignment horizontal="center" vertical="center" wrapText="1"/>
    </xf>
    <xf numFmtId="43" fontId="3" fillId="0" borderId="14" xfId="2" applyFont="1" applyBorder="1" applyAlignment="1">
      <alignment horizontal="center" vertical="center" wrapText="1"/>
    </xf>
    <xf numFmtId="43" fontId="4" fillId="0" borderId="18" xfId="2" applyFont="1" applyBorder="1" applyAlignment="1">
      <alignment horizontal="center" vertical="center" wrapText="1"/>
    </xf>
    <xf numFmtId="43" fontId="3" fillId="0" borderId="55" xfId="2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3" fontId="8" fillId="0" borderId="0" xfId="2" applyFont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3" fontId="3" fillId="0" borderId="22" xfId="2" applyFont="1" applyBorder="1" applyAlignment="1">
      <alignment horizontal="center" vertical="center" wrapText="1"/>
    </xf>
    <xf numFmtId="43" fontId="3" fillId="0" borderId="28" xfId="2" applyFont="1" applyBorder="1" applyAlignment="1">
      <alignment horizontal="center" vertical="center" wrapText="1"/>
    </xf>
    <xf numFmtId="43" fontId="3" fillId="0" borderId="21" xfId="2" applyFont="1" applyBorder="1" applyAlignment="1">
      <alignment horizontal="center" vertical="center" wrapText="1"/>
    </xf>
    <xf numFmtId="43" fontId="3" fillId="0" borderId="22" xfId="2" applyFont="1" applyFill="1" applyBorder="1" applyAlignment="1">
      <alignment horizontal="center" vertical="center" wrapText="1"/>
    </xf>
    <xf numFmtId="43" fontId="4" fillId="0" borderId="20" xfId="2" applyFont="1" applyBorder="1" applyAlignment="1">
      <alignment horizontal="center" vertical="center" wrapText="1"/>
    </xf>
    <xf numFmtId="43" fontId="3" fillId="0" borderId="45" xfId="2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0" fontId="8" fillId="0" borderId="0" xfId="0" applyFont="1"/>
    <xf numFmtId="43" fontId="8" fillId="0" borderId="0" xfId="2" applyFont="1"/>
    <xf numFmtId="0" fontId="3" fillId="0" borderId="23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3" fontId="8" fillId="0" borderId="0" xfId="0" applyNumberFormat="1" applyFont="1" applyAlignment="1">
      <alignment horizontal="center" vertical="center" wrapText="1"/>
    </xf>
    <xf numFmtId="164" fontId="8" fillId="0" borderId="0" xfId="2" applyNumberFormat="1" applyFont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9" fontId="3" fillId="0" borderId="14" xfId="2" applyNumberFormat="1" applyFont="1" applyBorder="1" applyAlignment="1">
      <alignment horizontal="center" vertical="center" wrapText="1"/>
    </xf>
    <xf numFmtId="16" fontId="3" fillId="0" borderId="24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43" fontId="3" fillId="0" borderId="21" xfId="2" applyFont="1" applyFill="1" applyBorder="1" applyAlignment="1">
      <alignment horizontal="center" vertical="center" wrapText="1"/>
    </xf>
    <xf numFmtId="43" fontId="3" fillId="0" borderId="20" xfId="2" applyFont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43" fontId="3" fillId="0" borderId="28" xfId="2" applyFont="1" applyFill="1" applyBorder="1" applyAlignment="1">
      <alignment horizontal="center" vertical="center" wrapText="1"/>
    </xf>
    <xf numFmtId="43" fontId="4" fillId="0" borderId="20" xfId="2" applyFont="1" applyFill="1" applyBorder="1" applyAlignment="1">
      <alignment horizontal="center" vertical="center" wrapText="1"/>
    </xf>
    <xf numFmtId="43" fontId="3" fillId="0" borderId="45" xfId="2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5" fillId="0" borderId="0" xfId="0" applyFont="1"/>
    <xf numFmtId="3" fontId="7" fillId="0" borderId="0" xfId="0" applyNumberFormat="1" applyFont="1"/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3" fontId="9" fillId="0" borderId="17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 wrapText="1"/>
    </xf>
    <xf numFmtId="3" fontId="9" fillId="0" borderId="26" xfId="0" applyNumberFormat="1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43" fontId="3" fillId="0" borderId="0" xfId="2" applyFont="1" applyAlignment="1">
      <alignment horizontal="center" vertical="center"/>
    </xf>
    <xf numFmtId="43" fontId="3" fillId="0" borderId="51" xfId="2" applyFont="1" applyBorder="1" applyAlignment="1">
      <alignment horizontal="center" vertical="center" wrapText="1"/>
    </xf>
    <xf numFmtId="43" fontId="3" fillId="0" borderId="52" xfId="2" applyFont="1" applyBorder="1" applyAlignment="1">
      <alignment horizontal="center" vertical="center" wrapText="1"/>
    </xf>
    <xf numFmtId="43" fontId="4" fillId="0" borderId="54" xfId="2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43" fontId="3" fillId="0" borderId="18" xfId="2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43" fontId="3" fillId="0" borderId="48" xfId="2" applyFont="1" applyBorder="1" applyAlignment="1">
      <alignment horizontal="center" vertical="center" wrapText="1"/>
    </xf>
    <xf numFmtId="43" fontId="3" fillId="0" borderId="35" xfId="2" applyFont="1" applyBorder="1" applyAlignment="1">
      <alignment horizontal="center" vertical="center" wrapText="1"/>
    </xf>
    <xf numFmtId="43" fontId="3" fillId="0" borderId="49" xfId="2" applyFont="1" applyBorder="1" applyAlignment="1">
      <alignment horizontal="center" vertical="center" wrapText="1"/>
    </xf>
    <xf numFmtId="43" fontId="3" fillId="0" borderId="36" xfId="2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43" fontId="10" fillId="0" borderId="0" xfId="0" applyNumberFormat="1" applyFont="1" applyFill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 wrapText="1"/>
    </xf>
    <xf numFmtId="168" fontId="3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10" fontId="3" fillId="0" borderId="15" xfId="0" applyNumberFormat="1" applyFont="1" applyBorder="1" applyAlignment="1">
      <alignment horizontal="center" vertical="center" wrapText="1"/>
    </xf>
    <xf numFmtId="10" fontId="3" fillId="0" borderId="20" xfId="0" applyNumberFormat="1" applyFont="1" applyBorder="1" applyAlignment="1">
      <alignment horizontal="center" vertical="center" wrapText="1"/>
    </xf>
    <xf numFmtId="10" fontId="3" fillId="0" borderId="17" xfId="0" applyNumberFormat="1" applyFont="1" applyBorder="1" applyAlignment="1">
      <alignment horizontal="center" vertical="center" wrapText="1"/>
    </xf>
    <xf numFmtId="10" fontId="3" fillId="0" borderId="22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10" fontId="3" fillId="0" borderId="36" xfId="0" applyNumberFormat="1" applyFont="1" applyBorder="1" applyAlignment="1">
      <alignment horizontal="center" vertical="center" wrapText="1"/>
    </xf>
    <xf numFmtId="10" fontId="3" fillId="0" borderId="38" xfId="0" applyNumberFormat="1" applyFont="1" applyBorder="1" applyAlignment="1">
      <alignment horizontal="center" vertical="center" wrapText="1"/>
    </xf>
    <xf numFmtId="10" fontId="3" fillId="0" borderId="40" xfId="0" applyNumberFormat="1" applyFont="1" applyBorder="1" applyAlignment="1">
      <alignment horizontal="center" vertical="center" wrapText="1"/>
    </xf>
    <xf numFmtId="10" fontId="3" fillId="0" borderId="49" xfId="0" applyNumberFormat="1" applyFont="1" applyBorder="1" applyAlignment="1">
      <alignment horizontal="center" vertical="center" wrapText="1"/>
    </xf>
    <xf numFmtId="10" fontId="3" fillId="0" borderId="30" xfId="0" applyNumberFormat="1" applyFont="1" applyBorder="1" applyAlignment="1">
      <alignment horizontal="center" vertical="center" wrapText="1"/>
    </xf>
    <xf numFmtId="10" fontId="3" fillId="0" borderId="31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3" fontId="3" fillId="2" borderId="14" xfId="2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43" fontId="3" fillId="2" borderId="27" xfId="2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43" fontId="3" fillId="3" borderId="14" xfId="2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43" fontId="3" fillId="3" borderId="27" xfId="2" applyFont="1" applyFill="1" applyBorder="1" applyAlignment="1">
      <alignment horizontal="center" vertical="center" wrapText="1"/>
    </xf>
  </cellXfs>
  <cellStyles count="3">
    <cellStyle name="Обычный" xfId="0" builtinId="0"/>
    <cellStyle name="Финансовый" xfId="2" builtin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arB\AppData\Local\Microsoft\Windows\INetCache\Content.Outlook\WUB3XBPL\&#1048;&#1055;%20&#1050;&#1052;&#1044;%202022%20_&#1087;&#1077;&#1088;&#1077;&#1088;&#1072;&#1089;&#1087;&#1088;&#1077;&#1076;%20%2018.07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arB\Desktop\&#1054;&#1090;&#1095;&#1077;&#1090;%20&#1080;&#1089;&#1087;&#1086;&#1083;&#1085;&#1077;&#1085;&#1080;&#1103;%20&#1048;&#1055;%202021%20&#1075;&#1086;&#1076;&#1072;\&#1055;&#1086;&#1083;&#1091;&#1075;&#1086;&#1076;&#1080;&#1077;\&#1048;&#1055;_&#1050;&#1052;&#1044;_2021_01.07.21%20(6+6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Переход 21г+Новые 2022г"/>
    </sheetNames>
    <sheetDataSet>
      <sheetData sheetId="0"/>
      <sheetData sheetId="1">
        <row r="90">
          <cell r="E90" t="str">
            <v>41_991514_95</v>
          </cell>
          <cell r="DU90">
            <v>33.746120000000005</v>
          </cell>
        </row>
        <row r="91">
          <cell r="DU91">
            <v>60.682924999999997</v>
          </cell>
        </row>
        <row r="92">
          <cell r="DU92">
            <v>284.05734000000001</v>
          </cell>
        </row>
        <row r="96">
          <cell r="DU96">
            <v>241.36976799999999</v>
          </cell>
        </row>
        <row r="146">
          <cell r="DU146">
            <v>38.9514</v>
          </cell>
        </row>
        <row r="147">
          <cell r="DU147">
            <v>5.7402739999999701</v>
          </cell>
        </row>
        <row r="148">
          <cell r="DU148">
            <v>25.35</v>
          </cell>
        </row>
        <row r="149">
          <cell r="DU149">
            <v>0.82840000000000003</v>
          </cell>
        </row>
        <row r="150">
          <cell r="DU150">
            <v>1.9992000000000001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"/>
      <sheetName val="ИП 21_на 01.07."/>
      <sheetName val="Лист1"/>
      <sheetName val="Лист2"/>
      <sheetName val="Лист1 (2)"/>
      <sheetName val="Лист3"/>
    </sheetNames>
    <sheetDataSet>
      <sheetData sheetId="0" refreshError="1"/>
      <sheetData sheetId="1" refreshError="1">
        <row r="83">
          <cell r="F83" t="str">
            <v>11_990303_29</v>
          </cell>
        </row>
        <row r="166">
          <cell r="BI166">
            <v>23.610373516746002</v>
          </cell>
        </row>
        <row r="168">
          <cell r="BI168">
            <v>1.481628746728</v>
          </cell>
        </row>
        <row r="169">
          <cell r="BI169">
            <v>10.909752000000003</v>
          </cell>
        </row>
        <row r="186">
          <cell r="BI186">
            <v>4.4625930499999997</v>
          </cell>
        </row>
        <row r="187">
          <cell r="BI187">
            <v>3.1360000000000001</v>
          </cell>
        </row>
        <row r="188">
          <cell r="BI188">
            <v>34.059200000000011</v>
          </cell>
        </row>
        <row r="189">
          <cell r="BI189">
            <v>18.928000000000001</v>
          </cell>
        </row>
        <row r="190">
          <cell r="BI190">
            <v>11.53712</v>
          </cell>
        </row>
        <row r="191">
          <cell r="BI191">
            <v>60.319826984791199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08"/>
  <sheetViews>
    <sheetView tabSelected="1" topLeftCell="B1" zoomScale="69" zoomScaleNormal="69" workbookViewId="0">
      <selection activeCell="AB17" sqref="AB17"/>
    </sheetView>
  </sheetViews>
  <sheetFormatPr defaultRowHeight="15.75" outlineLevelRow="1" x14ac:dyDescent="0.25"/>
  <cols>
    <col min="1" max="1" width="9.140625" style="1"/>
    <col min="2" max="2" width="7.42578125" style="1" customWidth="1"/>
    <col min="3" max="3" width="15.5703125" style="1" customWidth="1"/>
    <col min="4" max="4" width="42.140625" style="1" customWidth="1"/>
    <col min="5" max="5" width="9.28515625" style="1" bestFit="1" customWidth="1"/>
    <col min="6" max="6" width="7.140625" style="1" customWidth="1"/>
    <col min="7" max="7" width="8.28515625" style="1" customWidth="1"/>
    <col min="8" max="8" width="9.28515625" style="1" bestFit="1" customWidth="1"/>
    <col min="9" max="9" width="11.42578125" style="1" customWidth="1"/>
    <col min="10" max="10" width="15.5703125" style="1" customWidth="1"/>
    <col min="11" max="11" width="12.5703125" style="1" customWidth="1"/>
    <col min="12" max="12" width="15.28515625" style="1" customWidth="1"/>
    <col min="13" max="13" width="19.42578125" style="1" customWidth="1"/>
    <col min="14" max="14" width="15.85546875" style="1" customWidth="1"/>
    <col min="15" max="15" width="11.42578125" style="1" customWidth="1"/>
    <col min="16" max="21" width="9.140625" style="1" customWidth="1"/>
    <col min="22" max="25" width="7.7109375" style="1" customWidth="1"/>
    <col min="26" max="26" width="21.85546875" style="1" customWidth="1"/>
    <col min="27" max="27" width="25.42578125" style="1" customWidth="1"/>
    <col min="28" max="28" width="22.85546875" style="67" customWidth="1"/>
    <col min="29" max="29" width="22.85546875" style="68" customWidth="1"/>
    <col min="30" max="30" width="13.140625" style="4" customWidth="1"/>
    <col min="31" max="31" width="11.140625" style="1" bestFit="1" customWidth="1"/>
    <col min="32" max="32" width="9.140625" style="1"/>
    <col min="33" max="33" width="11.7109375" style="1" bestFit="1" customWidth="1"/>
    <col min="34" max="16384" width="9.140625" style="1"/>
  </cols>
  <sheetData>
    <row r="1" spans="2:27" x14ac:dyDescent="0.25">
      <c r="Z1" s="2"/>
      <c r="AA1" s="3" t="s">
        <v>25</v>
      </c>
    </row>
    <row r="2" spans="2:27" x14ac:dyDescent="0.25">
      <c r="L2" s="6"/>
      <c r="N2" s="6"/>
      <c r="AA2" s="5" t="s">
        <v>26</v>
      </c>
    </row>
    <row r="3" spans="2:27" x14ac:dyDescent="0.25">
      <c r="AA3" s="7" t="s">
        <v>27</v>
      </c>
    </row>
    <row r="4" spans="2:27" x14ac:dyDescent="0.25">
      <c r="AA4" s="3" t="s">
        <v>28</v>
      </c>
    </row>
    <row r="6" spans="2:27" x14ac:dyDescent="0.25">
      <c r="AA6" s="3" t="s">
        <v>29</v>
      </c>
    </row>
    <row r="7" spans="2:27" x14ac:dyDescent="0.25">
      <c r="AA7" s="3"/>
    </row>
    <row r="8" spans="2:27" ht="15" customHeight="1" x14ac:dyDescent="0.25">
      <c r="L8" s="136" t="s">
        <v>30</v>
      </c>
      <c r="M8" s="136"/>
      <c r="N8" s="136"/>
      <c r="AA8" s="3"/>
    </row>
    <row r="9" spans="2:27" x14ac:dyDescent="0.25">
      <c r="B9" s="136" t="s">
        <v>74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</row>
    <row r="10" spans="2:27" x14ac:dyDescent="0.25">
      <c r="B10" s="143" t="s">
        <v>32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</row>
    <row r="11" spans="2:27" x14ac:dyDescent="0.25">
      <c r="B11" s="136" t="s">
        <v>31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</row>
    <row r="12" spans="2:27" x14ac:dyDescent="0.25">
      <c r="AA12" s="3"/>
    </row>
    <row r="13" spans="2:27" ht="16.5" thickBot="1" x14ac:dyDescent="0.3">
      <c r="J13" s="8">
        <v>866348.34</v>
      </c>
      <c r="K13" s="9">
        <f>J13-J19</f>
        <v>-162360.87</v>
      </c>
    </row>
    <row r="14" spans="2:27" ht="75.75" customHeight="1" thickBot="1" x14ac:dyDescent="0.3">
      <c r="B14" s="129" t="s">
        <v>0</v>
      </c>
      <c r="C14" s="133" t="s">
        <v>1</v>
      </c>
      <c r="D14" s="134"/>
      <c r="E14" s="134"/>
      <c r="F14" s="134"/>
      <c r="G14" s="134"/>
      <c r="H14" s="135"/>
      <c r="I14" s="126" t="s">
        <v>2</v>
      </c>
      <c r="J14" s="134" t="s">
        <v>3</v>
      </c>
      <c r="K14" s="134"/>
      <c r="L14" s="134"/>
      <c r="M14" s="135"/>
      <c r="N14" s="133" t="s">
        <v>12</v>
      </c>
      <c r="O14" s="134"/>
      <c r="P14" s="134"/>
      <c r="Q14" s="135"/>
      <c r="R14" s="133" t="s">
        <v>13</v>
      </c>
      <c r="S14" s="134"/>
      <c r="T14" s="134"/>
      <c r="U14" s="134"/>
      <c r="V14" s="134"/>
      <c r="W14" s="134"/>
      <c r="X14" s="134"/>
      <c r="Y14" s="135"/>
      <c r="Z14" s="126" t="s">
        <v>14</v>
      </c>
      <c r="AA14" s="126" t="s">
        <v>15</v>
      </c>
    </row>
    <row r="15" spans="2:27" ht="99" customHeight="1" thickBot="1" x14ac:dyDescent="0.3">
      <c r="B15" s="145"/>
      <c r="C15" s="126" t="s">
        <v>4</v>
      </c>
      <c r="D15" s="126" t="s">
        <v>5</v>
      </c>
      <c r="E15" s="126" t="s">
        <v>6</v>
      </c>
      <c r="F15" s="133" t="s">
        <v>7</v>
      </c>
      <c r="G15" s="135"/>
      <c r="H15" s="126" t="s">
        <v>8</v>
      </c>
      <c r="I15" s="127"/>
      <c r="J15" s="130" t="s">
        <v>93</v>
      </c>
      <c r="K15" s="126" t="s">
        <v>94</v>
      </c>
      <c r="L15" s="126" t="s">
        <v>95</v>
      </c>
      <c r="M15" s="126" t="s">
        <v>9</v>
      </c>
      <c r="N15" s="129" t="s">
        <v>16</v>
      </c>
      <c r="O15" s="130"/>
      <c r="P15" s="126" t="s">
        <v>17</v>
      </c>
      <c r="Q15" s="126" t="s">
        <v>18</v>
      </c>
      <c r="R15" s="129" t="s">
        <v>19</v>
      </c>
      <c r="S15" s="130"/>
      <c r="T15" s="129" t="s">
        <v>20</v>
      </c>
      <c r="U15" s="130"/>
      <c r="V15" s="129" t="s">
        <v>21</v>
      </c>
      <c r="W15" s="130"/>
      <c r="X15" s="129" t="s">
        <v>22</v>
      </c>
      <c r="Y15" s="130"/>
      <c r="Z15" s="127"/>
      <c r="AA15" s="127"/>
    </row>
    <row r="16" spans="2:27" ht="64.5" customHeight="1" thickBot="1" x14ac:dyDescent="0.3">
      <c r="B16" s="145"/>
      <c r="C16" s="127"/>
      <c r="D16" s="127"/>
      <c r="E16" s="127"/>
      <c r="F16" s="126" t="s">
        <v>10</v>
      </c>
      <c r="G16" s="126" t="s">
        <v>11</v>
      </c>
      <c r="H16" s="127"/>
      <c r="I16" s="127"/>
      <c r="J16" s="146"/>
      <c r="K16" s="127"/>
      <c r="L16" s="127"/>
      <c r="M16" s="127"/>
      <c r="N16" s="131"/>
      <c r="O16" s="132"/>
      <c r="P16" s="127"/>
      <c r="Q16" s="127"/>
      <c r="R16" s="131"/>
      <c r="S16" s="132"/>
      <c r="T16" s="131"/>
      <c r="U16" s="132"/>
      <c r="V16" s="131"/>
      <c r="W16" s="132"/>
      <c r="X16" s="131"/>
      <c r="Y16" s="132"/>
      <c r="Z16" s="127"/>
      <c r="AA16" s="127"/>
    </row>
    <row r="17" spans="2:31" ht="49.5" customHeight="1" thickBot="1" x14ac:dyDescent="0.3">
      <c r="B17" s="131"/>
      <c r="C17" s="128"/>
      <c r="D17" s="128"/>
      <c r="E17" s="128"/>
      <c r="F17" s="128"/>
      <c r="G17" s="128"/>
      <c r="H17" s="128"/>
      <c r="I17" s="128"/>
      <c r="J17" s="132"/>
      <c r="K17" s="128"/>
      <c r="L17" s="128"/>
      <c r="M17" s="128"/>
      <c r="N17" s="10" t="s">
        <v>96</v>
      </c>
      <c r="O17" s="10" t="s">
        <v>97</v>
      </c>
      <c r="P17" s="128"/>
      <c r="Q17" s="128"/>
      <c r="R17" s="10" t="s">
        <v>23</v>
      </c>
      <c r="S17" s="11" t="s">
        <v>24</v>
      </c>
      <c r="T17" s="11" t="s">
        <v>23</v>
      </c>
      <c r="U17" s="11" t="s">
        <v>24</v>
      </c>
      <c r="V17" s="11" t="s">
        <v>10</v>
      </c>
      <c r="W17" s="11" t="s">
        <v>11</v>
      </c>
      <c r="X17" s="11" t="s">
        <v>23</v>
      </c>
      <c r="Y17" s="11" t="s">
        <v>24</v>
      </c>
      <c r="Z17" s="128"/>
      <c r="AA17" s="128"/>
    </row>
    <row r="18" spans="2:31" ht="16.5" thickBot="1" x14ac:dyDescent="0.3">
      <c r="B18" s="12">
        <v>1</v>
      </c>
      <c r="C18" s="15">
        <v>2</v>
      </c>
      <c r="D18" s="14">
        <v>3</v>
      </c>
      <c r="E18" s="14">
        <v>4</v>
      </c>
      <c r="F18" s="14">
        <v>5</v>
      </c>
      <c r="G18" s="14">
        <v>6</v>
      </c>
      <c r="H18" s="14">
        <v>7</v>
      </c>
      <c r="I18" s="15">
        <v>8</v>
      </c>
      <c r="J18" s="14">
        <v>9</v>
      </c>
      <c r="K18" s="14">
        <v>10</v>
      </c>
      <c r="L18" s="14">
        <v>11</v>
      </c>
      <c r="M18" s="14">
        <v>12</v>
      </c>
      <c r="N18" s="15">
        <v>13</v>
      </c>
      <c r="O18" s="14">
        <v>14</v>
      </c>
      <c r="P18" s="14">
        <v>15</v>
      </c>
      <c r="Q18" s="14">
        <v>16</v>
      </c>
      <c r="R18" s="15">
        <v>17</v>
      </c>
      <c r="S18" s="14">
        <v>18</v>
      </c>
      <c r="T18" s="14">
        <v>19</v>
      </c>
      <c r="U18" s="14">
        <v>20</v>
      </c>
      <c r="V18" s="14">
        <v>21</v>
      </c>
      <c r="W18" s="14">
        <v>22</v>
      </c>
      <c r="X18" s="14">
        <v>23</v>
      </c>
      <c r="Y18" s="14">
        <v>24</v>
      </c>
      <c r="Z18" s="15">
        <v>25</v>
      </c>
      <c r="AA18" s="15">
        <v>26</v>
      </c>
      <c r="AB18" s="4">
        <f>J19*1.12</f>
        <v>1152154.3152000001</v>
      </c>
    </row>
    <row r="19" spans="2:31" s="28" customFormat="1" ht="12.75" customHeight="1" x14ac:dyDescent="0.25">
      <c r="B19" s="69"/>
      <c r="C19" s="70"/>
      <c r="D19" s="71" t="s">
        <v>33</v>
      </c>
      <c r="E19" s="72"/>
      <c r="F19" s="72"/>
      <c r="G19" s="72"/>
      <c r="H19" s="21"/>
      <c r="I19" s="16"/>
      <c r="J19" s="23">
        <f>J20+J21+J22+J23+J24+J25+J26+J27+J28+J29+J30+J31+J32+J33+J56+J57+J58+J59</f>
        <v>1028709.21</v>
      </c>
      <c r="K19" s="23">
        <f>K20+K21+K22+K23+K24+K25+K26+K27+K28+K29+K30+K31+K32+K33+K56+K57+K58+K59</f>
        <v>5909.9999999999991</v>
      </c>
      <c r="L19" s="23">
        <f>L20+L21+L22+L23+L24+L25+L26+L27+L28+L29+L30+L31+L32+L33+L56+L57+L58+L59</f>
        <v>1022799.21</v>
      </c>
      <c r="M19" s="21"/>
      <c r="N19" s="26">
        <f>SUM(N20:N59)</f>
        <v>1028709.21</v>
      </c>
      <c r="O19" s="24">
        <f>SUM(O20:O59)</f>
        <v>0</v>
      </c>
      <c r="P19" s="24">
        <f>SUM(P20:P59)</f>
        <v>0</v>
      </c>
      <c r="Q19" s="24">
        <f>SUM(Q20:Q59)</f>
        <v>0</v>
      </c>
      <c r="R19" s="20"/>
      <c r="S19" s="72"/>
      <c r="T19" s="72"/>
      <c r="U19" s="72"/>
      <c r="V19" s="72"/>
      <c r="W19" s="72"/>
      <c r="X19" s="72"/>
      <c r="Y19" s="21"/>
      <c r="Z19" s="16"/>
      <c r="AA19" s="16"/>
      <c r="AB19" s="53" t="s">
        <v>48</v>
      </c>
      <c r="AC19" s="54"/>
      <c r="AD19" s="54"/>
      <c r="AE19" s="53"/>
    </row>
    <row r="20" spans="2:31" s="28" customFormat="1" ht="113.25" customHeight="1" x14ac:dyDescent="0.25">
      <c r="B20" s="73">
        <v>1</v>
      </c>
      <c r="C20" s="137" t="s">
        <v>136</v>
      </c>
      <c r="D20" s="74" t="s">
        <v>139</v>
      </c>
      <c r="E20" s="74" t="s">
        <v>34</v>
      </c>
      <c r="F20" s="74">
        <v>1</v>
      </c>
      <c r="G20" s="49">
        <v>0</v>
      </c>
      <c r="H20" s="52">
        <v>2022</v>
      </c>
      <c r="I20" s="43"/>
      <c r="J20" s="48">
        <f>33746120/1.12/1000</f>
        <v>30130.464285714283</v>
      </c>
      <c r="K20" s="49">
        <v>0</v>
      </c>
      <c r="L20" s="36">
        <f t="shared" ref="L20:L58" si="0">J20-K20</f>
        <v>30130.464285714283</v>
      </c>
      <c r="M20" s="34" t="str">
        <f>Z20</f>
        <v>Договор заключен. Подрядная организация ведет подготовительные работы</v>
      </c>
      <c r="N20" s="50">
        <f t="shared" ref="N20:N33" si="1">J20</f>
        <v>30130.464285714283</v>
      </c>
      <c r="O20" s="49">
        <v>0</v>
      </c>
      <c r="P20" s="49">
        <v>0</v>
      </c>
      <c r="Q20" s="49">
        <v>0</v>
      </c>
      <c r="R20" s="46" t="s">
        <v>47</v>
      </c>
      <c r="S20" s="74" t="s">
        <v>47</v>
      </c>
      <c r="T20" s="74" t="s">
        <v>47</v>
      </c>
      <c r="U20" s="74" t="s">
        <v>47</v>
      </c>
      <c r="V20" s="141">
        <v>6.6</v>
      </c>
      <c r="W20" s="141">
        <v>5.64</v>
      </c>
      <c r="X20" s="141">
        <v>26</v>
      </c>
      <c r="Y20" s="139">
        <v>10</v>
      </c>
      <c r="Z20" s="43" t="s">
        <v>125</v>
      </c>
      <c r="AA20" s="43" t="s">
        <v>65</v>
      </c>
      <c r="AB20" s="66"/>
      <c r="AC20" s="54">
        <f>'[1]Переход 21г+Новые 2022г'!$DU$90/1.12</f>
        <v>30.130464285714286</v>
      </c>
      <c r="AD20" s="76">
        <f>AC20*1000</f>
        <v>30130.464285714286</v>
      </c>
      <c r="AE20" s="53" t="b">
        <f t="shared" ref="AE20:AE33" si="2">J20=AD20</f>
        <v>1</v>
      </c>
    </row>
    <row r="21" spans="2:31" s="28" customFormat="1" ht="108.75" customHeight="1" x14ac:dyDescent="0.25">
      <c r="B21" s="73">
        <v>2</v>
      </c>
      <c r="C21" s="137"/>
      <c r="D21" s="74" t="s">
        <v>83</v>
      </c>
      <c r="E21" s="74" t="s">
        <v>36</v>
      </c>
      <c r="F21" s="74">
        <v>66</v>
      </c>
      <c r="G21" s="49">
        <v>0</v>
      </c>
      <c r="H21" s="52">
        <v>2022</v>
      </c>
      <c r="I21" s="43"/>
      <c r="J21" s="48">
        <f>60682930/1.12/1000</f>
        <v>54181.187499999993</v>
      </c>
      <c r="K21" s="49">
        <v>0</v>
      </c>
      <c r="L21" s="36">
        <f t="shared" si="0"/>
        <v>54181.187499999993</v>
      </c>
      <c r="M21" s="34" t="str">
        <f t="shared" ref="M21:M33" si="3">Z21</f>
        <v>Договор заключен. Подрядная организация ведет подготовительные работы</v>
      </c>
      <c r="N21" s="50">
        <f t="shared" si="1"/>
        <v>54181.187499999993</v>
      </c>
      <c r="O21" s="49">
        <v>0</v>
      </c>
      <c r="P21" s="49">
        <v>0</v>
      </c>
      <c r="Q21" s="49">
        <v>0</v>
      </c>
      <c r="R21" s="46" t="s">
        <v>47</v>
      </c>
      <c r="S21" s="74" t="s">
        <v>47</v>
      </c>
      <c r="T21" s="74" t="s">
        <v>47</v>
      </c>
      <c r="U21" s="74" t="s">
        <v>47</v>
      </c>
      <c r="V21" s="141"/>
      <c r="W21" s="141"/>
      <c r="X21" s="141"/>
      <c r="Y21" s="139"/>
      <c r="Z21" s="43" t="s">
        <v>125</v>
      </c>
      <c r="AA21" s="43" t="s">
        <v>65</v>
      </c>
      <c r="AB21" s="75"/>
      <c r="AC21" s="54">
        <f>'[1]Переход 21г+Новые 2022г'!$DU$91/1.12</f>
        <v>54.181183035714277</v>
      </c>
      <c r="AD21" s="76">
        <f>AC21*1000</f>
        <v>54181.183035714275</v>
      </c>
      <c r="AE21" s="53" t="b">
        <f t="shared" si="2"/>
        <v>0</v>
      </c>
    </row>
    <row r="22" spans="2:31" s="28" customFormat="1" ht="102.75" customHeight="1" x14ac:dyDescent="0.25">
      <c r="B22" s="73">
        <v>3</v>
      </c>
      <c r="C22" s="137"/>
      <c r="D22" s="74" t="s">
        <v>98</v>
      </c>
      <c r="E22" s="74" t="s">
        <v>34</v>
      </c>
      <c r="F22" s="74">
        <v>1</v>
      </c>
      <c r="G22" s="49">
        <v>0</v>
      </c>
      <c r="H22" s="52">
        <v>2022</v>
      </c>
      <c r="I22" s="43"/>
      <c r="J22" s="48">
        <f>284057340/1.12/1000</f>
        <v>253622.62499999997</v>
      </c>
      <c r="K22" s="49">
        <v>0</v>
      </c>
      <c r="L22" s="36">
        <f t="shared" si="0"/>
        <v>253622.62499999997</v>
      </c>
      <c r="M22" s="34" t="str">
        <f t="shared" si="3"/>
        <v>Договор заключен. Подрядная организация ведет подготовительные работы</v>
      </c>
      <c r="N22" s="50">
        <f t="shared" si="1"/>
        <v>253622.62499999997</v>
      </c>
      <c r="O22" s="49">
        <v>0</v>
      </c>
      <c r="P22" s="49">
        <v>0</v>
      </c>
      <c r="Q22" s="49">
        <v>0</v>
      </c>
      <c r="R22" s="46" t="s">
        <v>47</v>
      </c>
      <c r="S22" s="74" t="s">
        <v>47</v>
      </c>
      <c r="T22" s="74" t="s">
        <v>47</v>
      </c>
      <c r="U22" s="74" t="s">
        <v>47</v>
      </c>
      <c r="V22" s="141"/>
      <c r="W22" s="141"/>
      <c r="X22" s="141"/>
      <c r="Y22" s="139"/>
      <c r="Z22" s="43" t="s">
        <v>125</v>
      </c>
      <c r="AA22" s="43" t="s">
        <v>65</v>
      </c>
      <c r="AB22" s="54"/>
      <c r="AC22" s="75">
        <f>'[1]Переход 21г+Новые 2022г'!$DU$92/1.12</f>
        <v>253.622625</v>
      </c>
      <c r="AD22" s="76">
        <f>AB22*1000</f>
        <v>0</v>
      </c>
      <c r="AE22" s="53" t="b">
        <f t="shared" si="2"/>
        <v>0</v>
      </c>
    </row>
    <row r="23" spans="2:31" s="28" customFormat="1" ht="111.75" customHeight="1" x14ac:dyDescent="0.25">
      <c r="B23" s="73">
        <v>4</v>
      </c>
      <c r="C23" s="137"/>
      <c r="D23" s="74" t="s">
        <v>84</v>
      </c>
      <c r="E23" s="74" t="s">
        <v>34</v>
      </c>
      <c r="F23" s="74">
        <v>1</v>
      </c>
      <c r="G23" s="49">
        <v>0</v>
      </c>
      <c r="H23" s="52">
        <v>2022</v>
      </c>
      <c r="I23" s="43"/>
      <c r="J23" s="48">
        <f>(180204800+5158472.77+1466505.6)/1.12/1000</f>
        <v>166812.3021160714</v>
      </c>
      <c r="K23" s="49">
        <v>0</v>
      </c>
      <c r="L23" s="36">
        <f t="shared" si="0"/>
        <v>166812.3021160714</v>
      </c>
      <c r="M23" s="34" t="str">
        <f t="shared" si="3"/>
        <v>Договор заключен. Подрядная организация ведет подготовительные работы</v>
      </c>
      <c r="N23" s="50">
        <f t="shared" si="1"/>
        <v>166812.3021160714</v>
      </c>
      <c r="O23" s="49">
        <v>0</v>
      </c>
      <c r="P23" s="49">
        <v>0</v>
      </c>
      <c r="Q23" s="49">
        <v>0</v>
      </c>
      <c r="R23" s="46" t="s">
        <v>47</v>
      </c>
      <c r="S23" s="74" t="s">
        <v>47</v>
      </c>
      <c r="T23" s="74" t="s">
        <v>47</v>
      </c>
      <c r="U23" s="74" t="s">
        <v>47</v>
      </c>
      <c r="V23" s="141"/>
      <c r="W23" s="141"/>
      <c r="X23" s="141"/>
      <c r="Y23" s="139"/>
      <c r="Z23" s="43" t="s">
        <v>125</v>
      </c>
      <c r="AA23" s="43" t="s">
        <v>66</v>
      </c>
      <c r="AB23" s="75"/>
      <c r="AC23" s="54">
        <f>186.82977747/1.12</f>
        <v>166.81230131249998</v>
      </c>
      <c r="AD23" s="76">
        <f t="shared" ref="AD23:AD33" si="4">AC23*1000</f>
        <v>166812.30131249997</v>
      </c>
      <c r="AE23" s="53" t="b">
        <f t="shared" si="2"/>
        <v>0</v>
      </c>
    </row>
    <row r="24" spans="2:31" s="28" customFormat="1" ht="109.5" customHeight="1" x14ac:dyDescent="0.25">
      <c r="B24" s="73">
        <v>5</v>
      </c>
      <c r="C24" s="137"/>
      <c r="D24" s="74" t="s">
        <v>85</v>
      </c>
      <c r="E24" s="74" t="s">
        <v>34</v>
      </c>
      <c r="F24" s="74">
        <v>1</v>
      </c>
      <c r="G24" s="49">
        <v>0</v>
      </c>
      <c r="H24" s="52">
        <v>2022</v>
      </c>
      <c r="I24" s="43"/>
      <c r="J24" s="48">
        <f>241369770/1.12/1000</f>
        <v>215508.72321428571</v>
      </c>
      <c r="K24" s="49">
        <v>0</v>
      </c>
      <c r="L24" s="36">
        <f t="shared" si="0"/>
        <v>215508.72321428571</v>
      </c>
      <c r="M24" s="34" t="str">
        <f t="shared" si="3"/>
        <v>Договор заключен. Подрядная организация ведет подготовительные работы</v>
      </c>
      <c r="N24" s="50">
        <f t="shared" si="1"/>
        <v>215508.72321428571</v>
      </c>
      <c r="O24" s="49">
        <v>0</v>
      </c>
      <c r="P24" s="49">
        <v>0</v>
      </c>
      <c r="Q24" s="49">
        <v>0</v>
      </c>
      <c r="R24" s="46" t="s">
        <v>47</v>
      </c>
      <c r="S24" s="74" t="s">
        <v>47</v>
      </c>
      <c r="T24" s="74">
        <v>0.5</v>
      </c>
      <c r="U24" s="74" t="s">
        <v>47</v>
      </c>
      <c r="V24" s="141"/>
      <c r="W24" s="141"/>
      <c r="X24" s="141"/>
      <c r="Y24" s="139"/>
      <c r="Z24" s="43" t="s">
        <v>125</v>
      </c>
      <c r="AA24" s="43" t="s">
        <v>65</v>
      </c>
      <c r="AB24" s="53"/>
      <c r="AC24" s="54">
        <f>'[1]Переход 21г+Новые 2022г'!$DU$96/1.12</f>
        <v>215.50872142857139</v>
      </c>
      <c r="AD24" s="76">
        <f t="shared" si="4"/>
        <v>215508.72142857139</v>
      </c>
      <c r="AE24" s="53" t="b">
        <f t="shared" si="2"/>
        <v>0</v>
      </c>
    </row>
    <row r="25" spans="2:31" s="28" customFormat="1" ht="101.25" customHeight="1" x14ac:dyDescent="0.25">
      <c r="B25" s="73">
        <v>6</v>
      </c>
      <c r="C25" s="137"/>
      <c r="D25" s="180" t="s">
        <v>86</v>
      </c>
      <c r="E25" s="180" t="s">
        <v>34</v>
      </c>
      <c r="F25" s="180">
        <v>1</v>
      </c>
      <c r="G25" s="181">
        <v>0</v>
      </c>
      <c r="H25" s="182">
        <v>2022</v>
      </c>
      <c r="I25" s="183"/>
      <c r="J25" s="184">
        <f>(27455360+13683650+1630766+773414.01+357168+502806)/1.12/1000</f>
        <v>39645.68215178571</v>
      </c>
      <c r="K25" s="181">
        <v>0</v>
      </c>
      <c r="L25" s="181">
        <f t="shared" si="0"/>
        <v>39645.68215178571</v>
      </c>
      <c r="M25" s="34" t="str">
        <f t="shared" si="3"/>
        <v>Договор заключен. Подрядная организация ведет подготовительные работы</v>
      </c>
      <c r="N25" s="50">
        <f t="shared" si="1"/>
        <v>39645.68215178571</v>
      </c>
      <c r="O25" s="49">
        <v>0</v>
      </c>
      <c r="P25" s="49">
        <v>0</v>
      </c>
      <c r="Q25" s="49">
        <v>0</v>
      </c>
      <c r="R25" s="46" t="s">
        <v>47</v>
      </c>
      <c r="S25" s="74" t="s">
        <v>47</v>
      </c>
      <c r="T25" s="74" t="s">
        <v>47</v>
      </c>
      <c r="U25" s="74" t="s">
        <v>47</v>
      </c>
      <c r="V25" s="141"/>
      <c r="W25" s="141"/>
      <c r="X25" s="141"/>
      <c r="Y25" s="139"/>
      <c r="Z25" s="43" t="s">
        <v>125</v>
      </c>
      <c r="AA25" s="43" t="s">
        <v>65</v>
      </c>
      <c r="AB25" s="66"/>
      <c r="AC25" s="54">
        <v>77.98174755357141</v>
      </c>
      <c r="AD25" s="76">
        <f t="shared" si="4"/>
        <v>77981.747553571404</v>
      </c>
      <c r="AE25" s="53" t="b">
        <f t="shared" si="2"/>
        <v>0</v>
      </c>
    </row>
    <row r="26" spans="2:31" s="28" customFormat="1" ht="117.75" customHeight="1" x14ac:dyDescent="0.25">
      <c r="B26" s="73">
        <v>7</v>
      </c>
      <c r="C26" s="137"/>
      <c r="D26" s="74" t="s">
        <v>99</v>
      </c>
      <c r="E26" s="74" t="s">
        <v>35</v>
      </c>
      <c r="F26" s="74">
        <v>1</v>
      </c>
      <c r="G26" s="49">
        <v>0</v>
      </c>
      <c r="H26" s="52">
        <v>2022</v>
      </c>
      <c r="I26" s="43"/>
      <c r="J26" s="48">
        <f>48938000/1.12/1000</f>
        <v>43694.642857142848</v>
      </c>
      <c r="K26" s="49">
        <v>0</v>
      </c>
      <c r="L26" s="36">
        <f t="shared" si="0"/>
        <v>43694.642857142848</v>
      </c>
      <c r="M26" s="34" t="str">
        <f t="shared" si="3"/>
        <v>Договор заключен. Подрядная организация ведет подготовительные работы</v>
      </c>
      <c r="N26" s="50">
        <f t="shared" si="1"/>
        <v>43694.642857142848</v>
      </c>
      <c r="O26" s="49">
        <v>0</v>
      </c>
      <c r="P26" s="49">
        <v>0</v>
      </c>
      <c r="Q26" s="49">
        <v>0</v>
      </c>
      <c r="R26" s="46" t="s">
        <v>47</v>
      </c>
      <c r="S26" s="74" t="s">
        <v>47</v>
      </c>
      <c r="T26" s="74" t="s">
        <v>47</v>
      </c>
      <c r="U26" s="74" t="s">
        <v>47</v>
      </c>
      <c r="V26" s="141"/>
      <c r="W26" s="141"/>
      <c r="X26" s="141"/>
      <c r="Y26" s="139"/>
      <c r="Z26" s="43" t="s">
        <v>125</v>
      </c>
      <c r="AA26" s="43" t="s">
        <v>65</v>
      </c>
      <c r="AB26" s="53" t="s">
        <v>49</v>
      </c>
      <c r="AC26" s="54">
        <v>165.68759999999997</v>
      </c>
      <c r="AD26" s="76">
        <f t="shared" si="4"/>
        <v>165687.59999999998</v>
      </c>
      <c r="AE26" s="53" t="b">
        <f t="shared" si="2"/>
        <v>0</v>
      </c>
    </row>
    <row r="27" spans="2:31" s="28" customFormat="1" ht="117.75" customHeight="1" x14ac:dyDescent="0.25">
      <c r="B27" s="73">
        <v>8</v>
      </c>
      <c r="C27" s="137"/>
      <c r="D27" s="74" t="s">
        <v>87</v>
      </c>
      <c r="E27" s="74" t="s">
        <v>35</v>
      </c>
      <c r="F27" s="74">
        <v>1</v>
      </c>
      <c r="G27" s="49">
        <v>0</v>
      </c>
      <c r="H27" s="52">
        <v>2022</v>
      </c>
      <c r="I27" s="43"/>
      <c r="J27" s="48">
        <f>8286400/1.12/1000</f>
        <v>7398.5714285714284</v>
      </c>
      <c r="K27" s="49">
        <v>0</v>
      </c>
      <c r="L27" s="36">
        <f t="shared" si="0"/>
        <v>7398.5714285714284</v>
      </c>
      <c r="M27" s="34" t="str">
        <f t="shared" si="3"/>
        <v>Договор заключен. Подрядная организация ведет подготовительные работы</v>
      </c>
      <c r="N27" s="50">
        <f t="shared" si="1"/>
        <v>7398.5714285714284</v>
      </c>
      <c r="O27" s="49">
        <v>0</v>
      </c>
      <c r="P27" s="49">
        <v>0</v>
      </c>
      <c r="Q27" s="49">
        <v>0</v>
      </c>
      <c r="R27" s="46" t="s">
        <v>47</v>
      </c>
      <c r="S27" s="74" t="s">
        <v>47</v>
      </c>
      <c r="T27" s="74" t="s">
        <v>47</v>
      </c>
      <c r="U27" s="74" t="s">
        <v>47</v>
      </c>
      <c r="V27" s="141"/>
      <c r="W27" s="141"/>
      <c r="X27" s="141"/>
      <c r="Y27" s="139"/>
      <c r="Z27" s="43" t="s">
        <v>125</v>
      </c>
      <c r="AA27" s="43" t="s">
        <v>65</v>
      </c>
      <c r="AB27" s="53" t="s">
        <v>50</v>
      </c>
      <c r="AC27" s="54">
        <v>127.23957999999999</v>
      </c>
      <c r="AD27" s="76">
        <f t="shared" si="4"/>
        <v>127239.57999999999</v>
      </c>
      <c r="AE27" s="53" t="b">
        <f t="shared" si="2"/>
        <v>0</v>
      </c>
    </row>
    <row r="28" spans="2:31" s="28" customFormat="1" ht="109.5" customHeight="1" x14ac:dyDescent="0.25">
      <c r="B28" s="73">
        <v>9</v>
      </c>
      <c r="C28" s="137"/>
      <c r="D28" s="180" t="s">
        <v>88</v>
      </c>
      <c r="E28" s="180" t="s">
        <v>34</v>
      </c>
      <c r="F28" s="180">
        <v>1</v>
      </c>
      <c r="G28" s="181">
        <v>0</v>
      </c>
      <c r="H28" s="182">
        <v>2022</v>
      </c>
      <c r="I28" s="183"/>
      <c r="J28" s="184">
        <f>(33074000+1186053+235200)/1.12/1000</f>
        <v>30799.333035714284</v>
      </c>
      <c r="K28" s="181">
        <v>0</v>
      </c>
      <c r="L28" s="181">
        <f t="shared" si="0"/>
        <v>30799.333035714284</v>
      </c>
      <c r="M28" s="34" t="str">
        <f t="shared" si="3"/>
        <v>Договор заключен. Подрядная организация ведет подготовительные работы</v>
      </c>
      <c r="N28" s="50">
        <f t="shared" si="1"/>
        <v>30799.333035714284</v>
      </c>
      <c r="O28" s="49">
        <v>0</v>
      </c>
      <c r="P28" s="49">
        <v>0</v>
      </c>
      <c r="Q28" s="49">
        <v>0</v>
      </c>
      <c r="R28" s="46" t="s">
        <v>47</v>
      </c>
      <c r="S28" s="74" t="s">
        <v>47</v>
      </c>
      <c r="T28" s="74" t="s">
        <v>47</v>
      </c>
      <c r="U28" s="74" t="s">
        <v>47</v>
      </c>
      <c r="V28" s="141"/>
      <c r="W28" s="141"/>
      <c r="X28" s="141"/>
      <c r="Y28" s="139"/>
      <c r="Z28" s="43" t="s">
        <v>125</v>
      </c>
      <c r="AA28" s="43" t="s">
        <v>65</v>
      </c>
      <c r="AB28" s="66"/>
      <c r="AC28" s="54">
        <v>5.0000689999999999</v>
      </c>
      <c r="AD28" s="76">
        <f t="shared" si="4"/>
        <v>5000.0689999999995</v>
      </c>
      <c r="AE28" s="53" t="b">
        <f t="shared" si="2"/>
        <v>0</v>
      </c>
    </row>
    <row r="29" spans="2:31" s="28" customFormat="1" ht="141.75" x14ac:dyDescent="0.25">
      <c r="B29" s="73">
        <v>10</v>
      </c>
      <c r="C29" s="137"/>
      <c r="D29" s="74" t="s">
        <v>140</v>
      </c>
      <c r="E29" s="74" t="s">
        <v>35</v>
      </c>
      <c r="F29" s="74">
        <v>3</v>
      </c>
      <c r="G29" s="78">
        <v>3</v>
      </c>
      <c r="H29" s="52">
        <v>2022</v>
      </c>
      <c r="I29" s="43"/>
      <c r="J29" s="48">
        <f>5762400/1.12/1000</f>
        <v>5144.9999999999991</v>
      </c>
      <c r="K29" s="49">
        <v>5144.9999999999991</v>
      </c>
      <c r="L29" s="36">
        <f t="shared" si="0"/>
        <v>0</v>
      </c>
      <c r="M29" s="34"/>
      <c r="N29" s="50">
        <f t="shared" si="1"/>
        <v>5144.9999999999991</v>
      </c>
      <c r="O29" s="49">
        <v>0</v>
      </c>
      <c r="P29" s="49">
        <v>0</v>
      </c>
      <c r="Q29" s="49">
        <v>0</v>
      </c>
      <c r="R29" s="46" t="s">
        <v>47</v>
      </c>
      <c r="S29" s="74" t="s">
        <v>47</v>
      </c>
      <c r="T29" s="74" t="s">
        <v>47</v>
      </c>
      <c r="U29" s="74" t="s">
        <v>47</v>
      </c>
      <c r="V29" s="141"/>
      <c r="W29" s="141"/>
      <c r="X29" s="141"/>
      <c r="Y29" s="139"/>
      <c r="Z29" s="43"/>
      <c r="AA29" s="43" t="s">
        <v>137</v>
      </c>
      <c r="AB29" s="53" t="s">
        <v>51</v>
      </c>
      <c r="AC29" s="54">
        <v>58.035714285714278</v>
      </c>
      <c r="AD29" s="76">
        <f t="shared" si="4"/>
        <v>58035.714285714275</v>
      </c>
      <c r="AE29" s="53" t="b">
        <f t="shared" si="2"/>
        <v>0</v>
      </c>
    </row>
    <row r="30" spans="2:31" s="28" customFormat="1" ht="94.5" customHeight="1" x14ac:dyDescent="0.25">
      <c r="B30" s="73">
        <v>11</v>
      </c>
      <c r="C30" s="137"/>
      <c r="D30" s="74" t="s">
        <v>89</v>
      </c>
      <c r="E30" s="74" t="s">
        <v>34</v>
      </c>
      <c r="F30" s="74">
        <v>1</v>
      </c>
      <c r="G30" s="49">
        <v>0</v>
      </c>
      <c r="H30" s="52">
        <v>2022</v>
      </c>
      <c r="I30" s="43"/>
      <c r="J30" s="48">
        <f>4109762/1.12/1000</f>
        <v>3669.4303571428568</v>
      </c>
      <c r="K30" s="49">
        <v>0</v>
      </c>
      <c r="L30" s="36">
        <f t="shared" si="0"/>
        <v>3669.4303571428568</v>
      </c>
      <c r="M30" s="34" t="str">
        <f t="shared" si="3"/>
        <v>Договор заключен. Подрядная организация ведет подготовительные работы</v>
      </c>
      <c r="N30" s="50">
        <f t="shared" si="1"/>
        <v>3669.4303571428568</v>
      </c>
      <c r="O30" s="49">
        <v>0</v>
      </c>
      <c r="P30" s="49">
        <v>0</v>
      </c>
      <c r="Q30" s="49">
        <v>0</v>
      </c>
      <c r="R30" s="46" t="s">
        <v>47</v>
      </c>
      <c r="S30" s="74" t="s">
        <v>47</v>
      </c>
      <c r="T30" s="74" t="s">
        <v>47</v>
      </c>
      <c r="U30" s="74" t="s">
        <v>47</v>
      </c>
      <c r="V30" s="141"/>
      <c r="W30" s="141"/>
      <c r="X30" s="141"/>
      <c r="Y30" s="139"/>
      <c r="Z30" s="43" t="s">
        <v>125</v>
      </c>
      <c r="AA30" s="43" t="s">
        <v>65</v>
      </c>
      <c r="AB30" s="53" t="s">
        <v>52</v>
      </c>
      <c r="AC30" s="54">
        <v>13.389186000000009</v>
      </c>
      <c r="AD30" s="76">
        <f t="shared" si="4"/>
        <v>13389.186000000009</v>
      </c>
      <c r="AE30" s="53" t="b">
        <f t="shared" si="2"/>
        <v>0</v>
      </c>
    </row>
    <row r="31" spans="2:31" s="28" customFormat="1" ht="114" customHeight="1" x14ac:dyDescent="0.25">
      <c r="B31" s="73">
        <v>12</v>
      </c>
      <c r="C31" s="137"/>
      <c r="D31" s="175" t="s">
        <v>37</v>
      </c>
      <c r="E31" s="175" t="s">
        <v>34</v>
      </c>
      <c r="F31" s="175">
        <v>1</v>
      </c>
      <c r="G31" s="176">
        <v>0</v>
      </c>
      <c r="H31" s="177">
        <v>2022</v>
      </c>
      <c r="I31" s="178"/>
      <c r="J31" s="179">
        <f>(60387127+1359263+336446)/1.12/1000</f>
        <v>55431.103571428568</v>
      </c>
      <c r="K31" s="176">
        <v>0</v>
      </c>
      <c r="L31" s="176">
        <f t="shared" si="0"/>
        <v>55431.103571428568</v>
      </c>
      <c r="M31" s="34" t="str">
        <f t="shared" si="3"/>
        <v>Договор заключен. Подрядная организация ведет подготовительные работы</v>
      </c>
      <c r="N31" s="50">
        <f t="shared" si="1"/>
        <v>55431.103571428568</v>
      </c>
      <c r="O31" s="49">
        <v>0</v>
      </c>
      <c r="P31" s="49">
        <v>0</v>
      </c>
      <c r="Q31" s="49">
        <v>0</v>
      </c>
      <c r="R31" s="46" t="s">
        <v>47</v>
      </c>
      <c r="S31" s="74" t="s">
        <v>47</v>
      </c>
      <c r="T31" s="74" t="s">
        <v>47</v>
      </c>
      <c r="U31" s="74" t="s">
        <v>47</v>
      </c>
      <c r="V31" s="141"/>
      <c r="W31" s="141"/>
      <c r="X31" s="141"/>
      <c r="Y31" s="139"/>
      <c r="Z31" s="43" t="s">
        <v>125</v>
      </c>
      <c r="AA31" s="43" t="s">
        <v>65</v>
      </c>
      <c r="AB31" s="66">
        <f>L31*1.12</f>
        <v>62082.836000000003</v>
      </c>
      <c r="AC31" s="54">
        <v>30.47691696428571</v>
      </c>
      <c r="AD31" s="76">
        <f t="shared" si="4"/>
        <v>30476.916964285709</v>
      </c>
      <c r="AE31" s="53" t="b">
        <f t="shared" si="2"/>
        <v>0</v>
      </c>
    </row>
    <row r="32" spans="2:31" s="28" customFormat="1" ht="117" customHeight="1" x14ac:dyDescent="0.25">
      <c r="B32" s="73">
        <v>13</v>
      </c>
      <c r="C32" s="137"/>
      <c r="D32" s="175" t="s">
        <v>38</v>
      </c>
      <c r="E32" s="175" t="s">
        <v>34</v>
      </c>
      <c r="F32" s="175">
        <v>1</v>
      </c>
      <c r="G32" s="176">
        <v>0</v>
      </c>
      <c r="H32" s="177">
        <v>2022</v>
      </c>
      <c r="I32" s="178"/>
      <c r="J32" s="179">
        <f>(35910683.82+1049569+205870)/1.12/1000</f>
        <v>33184.038232142855</v>
      </c>
      <c r="K32" s="176">
        <v>0</v>
      </c>
      <c r="L32" s="176">
        <f t="shared" si="0"/>
        <v>33184.038232142855</v>
      </c>
      <c r="M32" s="34" t="str">
        <f t="shared" si="3"/>
        <v>Договор заключен. Подрядная организация ведет подготовительные работы</v>
      </c>
      <c r="N32" s="50">
        <f t="shared" si="1"/>
        <v>33184.038232142855</v>
      </c>
      <c r="O32" s="49">
        <v>0</v>
      </c>
      <c r="P32" s="49">
        <v>0</v>
      </c>
      <c r="Q32" s="49">
        <v>0</v>
      </c>
      <c r="R32" s="46" t="s">
        <v>47</v>
      </c>
      <c r="S32" s="74" t="s">
        <v>47</v>
      </c>
      <c r="T32" s="74" t="s">
        <v>47</v>
      </c>
      <c r="U32" s="74" t="s">
        <v>47</v>
      </c>
      <c r="V32" s="141"/>
      <c r="W32" s="141"/>
      <c r="X32" s="141"/>
      <c r="Y32" s="139"/>
      <c r="Z32" s="43" t="s">
        <v>125</v>
      </c>
      <c r="AA32" s="43" t="s">
        <v>65</v>
      </c>
      <c r="AB32" s="66">
        <f>L32*1.12</f>
        <v>37166.122820000004</v>
      </c>
      <c r="AC32" s="54">
        <v>15.2973397232143</v>
      </c>
      <c r="AD32" s="76">
        <f t="shared" si="4"/>
        <v>15297.3397232143</v>
      </c>
      <c r="AE32" s="53" t="b">
        <f t="shared" si="2"/>
        <v>0</v>
      </c>
    </row>
    <row r="33" spans="2:31" s="28" customFormat="1" ht="242.25" customHeight="1" x14ac:dyDescent="0.25">
      <c r="B33" s="73">
        <v>14</v>
      </c>
      <c r="C33" s="137"/>
      <c r="D33" s="77" t="s">
        <v>90</v>
      </c>
      <c r="E33" s="74" t="s">
        <v>35</v>
      </c>
      <c r="F33" s="74">
        <f>SUM(F34:F55)</f>
        <v>6272</v>
      </c>
      <c r="G33" s="78">
        <f>SUM(G34:G55)</f>
        <v>3</v>
      </c>
      <c r="H33" s="52">
        <v>2022</v>
      </c>
      <c r="I33" s="43"/>
      <c r="J33" s="48">
        <f>SUM(J34:J55)</f>
        <v>45708.071008571511</v>
      </c>
      <c r="K33" s="48">
        <f>SUM(K34:K55)</f>
        <v>764.99999999999989</v>
      </c>
      <c r="L33" s="36">
        <f t="shared" si="0"/>
        <v>44943.071008571511</v>
      </c>
      <c r="M33" s="34" t="str">
        <f t="shared" si="3"/>
        <v>Договоры заключены на 15 из 22 позиций. По заключенным договорам ожидается поставка (одна позиция (3 штуки ВНП) поставлены). По незаключенным позициям ведутся процедуры по закупке товаров, работ и услуг.</v>
      </c>
      <c r="N33" s="50">
        <f t="shared" si="1"/>
        <v>45708.071008571511</v>
      </c>
      <c r="O33" s="49">
        <v>0</v>
      </c>
      <c r="P33" s="49">
        <v>0</v>
      </c>
      <c r="Q33" s="49">
        <v>0</v>
      </c>
      <c r="R33" s="46" t="s">
        <v>47</v>
      </c>
      <c r="S33" s="74" t="s">
        <v>47</v>
      </c>
      <c r="T33" s="74" t="s">
        <v>47</v>
      </c>
      <c r="U33" s="74" t="s">
        <v>47</v>
      </c>
      <c r="V33" s="141"/>
      <c r="W33" s="141"/>
      <c r="X33" s="141"/>
      <c r="Y33" s="139"/>
      <c r="Z33" s="43" t="s">
        <v>131</v>
      </c>
      <c r="AA33" s="43" t="s">
        <v>65</v>
      </c>
      <c r="AB33" s="53" t="s">
        <v>53</v>
      </c>
      <c r="AC33" s="54">
        <f>70.236049/1.12</f>
        <v>62.710758035714278</v>
      </c>
      <c r="AD33" s="76">
        <f t="shared" si="4"/>
        <v>62710.75803571428</v>
      </c>
      <c r="AE33" s="53" t="b">
        <f t="shared" si="2"/>
        <v>0</v>
      </c>
    </row>
    <row r="34" spans="2:31" s="28" customFormat="1" ht="94.5" hidden="1" outlineLevel="1" x14ac:dyDescent="0.25">
      <c r="B34" s="79"/>
      <c r="C34" s="137"/>
      <c r="D34" s="77" t="s">
        <v>100</v>
      </c>
      <c r="E34" s="74" t="s">
        <v>36</v>
      </c>
      <c r="F34" s="74">
        <v>3</v>
      </c>
      <c r="G34" s="49">
        <v>3</v>
      </c>
      <c r="H34" s="52">
        <v>2022</v>
      </c>
      <c r="I34" s="43"/>
      <c r="J34" s="48">
        <f>856800/1.12/1000</f>
        <v>764.99999999999989</v>
      </c>
      <c r="K34" s="49">
        <v>764.99999999999989</v>
      </c>
      <c r="L34" s="36">
        <f t="shared" si="0"/>
        <v>0</v>
      </c>
      <c r="M34" s="34"/>
      <c r="N34" s="50"/>
      <c r="O34" s="49">
        <v>0</v>
      </c>
      <c r="P34" s="49">
        <v>0</v>
      </c>
      <c r="Q34" s="49">
        <v>0</v>
      </c>
      <c r="R34" s="46" t="s">
        <v>47</v>
      </c>
      <c r="S34" s="74" t="s">
        <v>47</v>
      </c>
      <c r="T34" s="74" t="s">
        <v>47</v>
      </c>
      <c r="U34" s="74" t="s">
        <v>47</v>
      </c>
      <c r="V34" s="141"/>
      <c r="W34" s="141"/>
      <c r="X34" s="141"/>
      <c r="Y34" s="139"/>
      <c r="Z34" s="43"/>
      <c r="AA34" s="43" t="s">
        <v>65</v>
      </c>
      <c r="AB34" s="53"/>
      <c r="AC34" s="54"/>
      <c r="AD34" s="76"/>
      <c r="AE34" s="53"/>
    </row>
    <row r="35" spans="2:31" s="28" customFormat="1" ht="94.5" hidden="1" outlineLevel="1" x14ac:dyDescent="0.25">
      <c r="B35" s="73"/>
      <c r="C35" s="137"/>
      <c r="D35" s="77" t="s">
        <v>101</v>
      </c>
      <c r="E35" s="74" t="s">
        <v>36</v>
      </c>
      <c r="F35" s="74">
        <v>4</v>
      </c>
      <c r="G35" s="49"/>
      <c r="H35" s="52">
        <v>2022</v>
      </c>
      <c r="I35" s="43"/>
      <c r="J35" s="48">
        <f>1916765.5560001/1.12/1000</f>
        <v>1711.397817857232</v>
      </c>
      <c r="K35" s="49"/>
      <c r="L35" s="36">
        <f t="shared" si="0"/>
        <v>1711.397817857232</v>
      </c>
      <c r="M35" s="34"/>
      <c r="N35" s="50"/>
      <c r="O35" s="49">
        <v>0</v>
      </c>
      <c r="P35" s="49">
        <v>0</v>
      </c>
      <c r="Q35" s="49">
        <v>0</v>
      </c>
      <c r="R35" s="46" t="s">
        <v>47</v>
      </c>
      <c r="S35" s="74" t="s">
        <v>47</v>
      </c>
      <c r="T35" s="74" t="s">
        <v>47</v>
      </c>
      <c r="U35" s="74" t="s">
        <v>47</v>
      </c>
      <c r="V35" s="141"/>
      <c r="W35" s="141"/>
      <c r="X35" s="141"/>
      <c r="Y35" s="139"/>
      <c r="Z35" s="43" t="s">
        <v>126</v>
      </c>
      <c r="AA35" s="43" t="s">
        <v>65</v>
      </c>
      <c r="AB35" s="53"/>
      <c r="AC35" s="54"/>
      <c r="AD35" s="76"/>
      <c r="AE35" s="53"/>
    </row>
    <row r="36" spans="2:31" s="28" customFormat="1" ht="94.5" hidden="1" outlineLevel="1" x14ac:dyDescent="0.25">
      <c r="B36" s="73"/>
      <c r="C36" s="137"/>
      <c r="D36" s="77" t="s">
        <v>102</v>
      </c>
      <c r="E36" s="74" t="s">
        <v>36</v>
      </c>
      <c r="F36" s="74">
        <v>2</v>
      </c>
      <c r="G36" s="49"/>
      <c r="H36" s="52">
        <v>2022</v>
      </c>
      <c r="I36" s="43"/>
      <c r="J36" s="48">
        <f>886000.0128/1.12/1000</f>
        <v>791.07143999999994</v>
      </c>
      <c r="K36" s="49"/>
      <c r="L36" s="36">
        <f t="shared" si="0"/>
        <v>791.07143999999994</v>
      </c>
      <c r="M36" s="34"/>
      <c r="N36" s="50"/>
      <c r="O36" s="49">
        <v>0</v>
      </c>
      <c r="P36" s="49">
        <v>0</v>
      </c>
      <c r="Q36" s="49">
        <v>0</v>
      </c>
      <c r="R36" s="46" t="s">
        <v>47</v>
      </c>
      <c r="S36" s="74" t="s">
        <v>47</v>
      </c>
      <c r="T36" s="74" t="s">
        <v>47</v>
      </c>
      <c r="U36" s="74" t="s">
        <v>47</v>
      </c>
      <c r="V36" s="141"/>
      <c r="W36" s="141"/>
      <c r="X36" s="141"/>
      <c r="Y36" s="139"/>
      <c r="Z36" s="43" t="s">
        <v>126</v>
      </c>
      <c r="AA36" s="43" t="s">
        <v>65</v>
      </c>
      <c r="AB36" s="53"/>
      <c r="AC36" s="54"/>
      <c r="AD36" s="76"/>
      <c r="AE36" s="53"/>
    </row>
    <row r="37" spans="2:31" s="28" customFormat="1" ht="94.5" hidden="1" outlineLevel="1" x14ac:dyDescent="0.25">
      <c r="B37" s="73"/>
      <c r="C37" s="137"/>
      <c r="D37" s="77" t="s">
        <v>103</v>
      </c>
      <c r="E37" s="74" t="s">
        <v>36</v>
      </c>
      <c r="F37" s="74">
        <v>2</v>
      </c>
      <c r="G37" s="49"/>
      <c r="H37" s="52">
        <v>2022</v>
      </c>
      <c r="I37" s="43"/>
      <c r="J37" s="48">
        <f>1108000.006/1.12/1000</f>
        <v>989.28571964285709</v>
      </c>
      <c r="K37" s="49"/>
      <c r="L37" s="36">
        <f t="shared" si="0"/>
        <v>989.28571964285709</v>
      </c>
      <c r="M37" s="34"/>
      <c r="N37" s="50"/>
      <c r="O37" s="49">
        <v>0</v>
      </c>
      <c r="P37" s="49">
        <v>0</v>
      </c>
      <c r="Q37" s="49">
        <v>0</v>
      </c>
      <c r="R37" s="46" t="s">
        <v>47</v>
      </c>
      <c r="S37" s="74" t="s">
        <v>47</v>
      </c>
      <c r="T37" s="74" t="s">
        <v>47</v>
      </c>
      <c r="U37" s="74" t="s">
        <v>47</v>
      </c>
      <c r="V37" s="141"/>
      <c r="W37" s="141"/>
      <c r="X37" s="141"/>
      <c r="Y37" s="139"/>
      <c r="Z37" s="43" t="s">
        <v>126</v>
      </c>
      <c r="AA37" s="43" t="s">
        <v>65</v>
      </c>
      <c r="AB37" s="53"/>
      <c r="AC37" s="54"/>
      <c r="AD37" s="76"/>
      <c r="AE37" s="53"/>
    </row>
    <row r="38" spans="2:31" s="28" customFormat="1" ht="94.5" hidden="1" outlineLevel="1" x14ac:dyDescent="0.25">
      <c r="B38" s="73"/>
      <c r="C38" s="137"/>
      <c r="D38" s="77" t="s">
        <v>104</v>
      </c>
      <c r="E38" s="74" t="s">
        <v>36</v>
      </c>
      <c r="F38" s="74">
        <v>1</v>
      </c>
      <c r="G38" s="49"/>
      <c r="H38" s="52">
        <v>2022</v>
      </c>
      <c r="I38" s="43"/>
      <c r="J38" s="48">
        <f>12000.0048/1.12/1000</f>
        <v>10.714289999999998</v>
      </c>
      <c r="K38" s="49"/>
      <c r="L38" s="36">
        <f t="shared" si="0"/>
        <v>10.714289999999998</v>
      </c>
      <c r="M38" s="34"/>
      <c r="N38" s="50"/>
      <c r="O38" s="49">
        <v>0</v>
      </c>
      <c r="P38" s="49">
        <v>0</v>
      </c>
      <c r="Q38" s="49">
        <v>0</v>
      </c>
      <c r="R38" s="46" t="s">
        <v>47</v>
      </c>
      <c r="S38" s="74" t="s">
        <v>47</v>
      </c>
      <c r="T38" s="74" t="s">
        <v>47</v>
      </c>
      <c r="U38" s="74" t="s">
        <v>47</v>
      </c>
      <c r="V38" s="141"/>
      <c r="W38" s="141"/>
      <c r="X38" s="141"/>
      <c r="Y38" s="139"/>
      <c r="Z38" s="43" t="s">
        <v>126</v>
      </c>
      <c r="AA38" s="43" t="s">
        <v>65</v>
      </c>
      <c r="AB38" s="53"/>
      <c r="AC38" s="54"/>
      <c r="AD38" s="76"/>
      <c r="AE38" s="53"/>
    </row>
    <row r="39" spans="2:31" s="28" customFormat="1" ht="94.5" hidden="1" outlineLevel="1" x14ac:dyDescent="0.25">
      <c r="B39" s="73"/>
      <c r="C39" s="137"/>
      <c r="D39" s="77" t="s">
        <v>105</v>
      </c>
      <c r="E39" s="74" t="s">
        <v>36</v>
      </c>
      <c r="F39" s="74">
        <v>1</v>
      </c>
      <c r="G39" s="49"/>
      <c r="H39" s="52">
        <v>2022</v>
      </c>
      <c r="I39" s="43"/>
      <c r="J39" s="48">
        <f>39000/1.12/1000</f>
        <v>34.821428571428562</v>
      </c>
      <c r="K39" s="49"/>
      <c r="L39" s="36">
        <f t="shared" si="0"/>
        <v>34.821428571428562</v>
      </c>
      <c r="M39" s="34"/>
      <c r="N39" s="50"/>
      <c r="O39" s="49">
        <v>0</v>
      </c>
      <c r="P39" s="49">
        <v>0</v>
      </c>
      <c r="Q39" s="49">
        <v>0</v>
      </c>
      <c r="R39" s="46" t="s">
        <v>47</v>
      </c>
      <c r="S39" s="74" t="s">
        <v>47</v>
      </c>
      <c r="T39" s="74" t="s">
        <v>47</v>
      </c>
      <c r="U39" s="74" t="s">
        <v>47</v>
      </c>
      <c r="V39" s="141"/>
      <c r="W39" s="141"/>
      <c r="X39" s="141"/>
      <c r="Y39" s="139"/>
      <c r="Z39" s="43" t="s">
        <v>126</v>
      </c>
      <c r="AA39" s="43" t="s">
        <v>65</v>
      </c>
      <c r="AB39" s="53"/>
      <c r="AC39" s="54"/>
      <c r="AD39" s="76"/>
      <c r="AE39" s="53"/>
    </row>
    <row r="40" spans="2:31" s="28" customFormat="1" ht="94.5" hidden="1" outlineLevel="1" x14ac:dyDescent="0.25">
      <c r="B40" s="73"/>
      <c r="C40" s="137"/>
      <c r="D40" s="77" t="s">
        <v>106</v>
      </c>
      <c r="E40" s="74" t="s">
        <v>36</v>
      </c>
      <c r="F40" s="74">
        <v>5</v>
      </c>
      <c r="G40" s="49"/>
      <c r="H40" s="52">
        <v>2022</v>
      </c>
      <c r="I40" s="43"/>
      <c r="J40" s="48">
        <f>1149999.95/1.12/1000</f>
        <v>1026.7856696428571</v>
      </c>
      <c r="K40" s="49"/>
      <c r="L40" s="36">
        <f t="shared" si="0"/>
        <v>1026.7856696428571</v>
      </c>
      <c r="M40" s="34"/>
      <c r="N40" s="50"/>
      <c r="O40" s="49">
        <v>0</v>
      </c>
      <c r="P40" s="49">
        <v>0</v>
      </c>
      <c r="Q40" s="49">
        <v>0</v>
      </c>
      <c r="R40" s="46" t="s">
        <v>47</v>
      </c>
      <c r="S40" s="74" t="s">
        <v>47</v>
      </c>
      <c r="T40" s="74" t="s">
        <v>47</v>
      </c>
      <c r="U40" s="74" t="s">
        <v>47</v>
      </c>
      <c r="V40" s="141"/>
      <c r="W40" s="141"/>
      <c r="X40" s="141"/>
      <c r="Y40" s="139"/>
      <c r="Z40" s="43" t="s">
        <v>130</v>
      </c>
      <c r="AA40" s="43" t="s">
        <v>65</v>
      </c>
      <c r="AB40" s="53"/>
      <c r="AC40" s="54"/>
      <c r="AD40" s="76"/>
      <c r="AE40" s="53"/>
    </row>
    <row r="41" spans="2:31" s="28" customFormat="1" ht="94.5" hidden="1" outlineLevel="1" x14ac:dyDescent="0.25">
      <c r="B41" s="73"/>
      <c r="C41" s="137"/>
      <c r="D41" s="77" t="s">
        <v>107</v>
      </c>
      <c r="E41" s="74" t="s">
        <v>36</v>
      </c>
      <c r="F41" s="74">
        <v>5</v>
      </c>
      <c r="G41" s="49"/>
      <c r="H41" s="52">
        <v>2022</v>
      </c>
      <c r="I41" s="43"/>
      <c r="J41" s="48">
        <f>410480/1.12/1000</f>
        <v>366.49999999999994</v>
      </c>
      <c r="K41" s="49"/>
      <c r="L41" s="36">
        <f t="shared" si="0"/>
        <v>366.49999999999994</v>
      </c>
      <c r="M41" s="34"/>
      <c r="N41" s="50"/>
      <c r="O41" s="49">
        <v>0</v>
      </c>
      <c r="P41" s="49">
        <v>0</v>
      </c>
      <c r="Q41" s="49">
        <v>0</v>
      </c>
      <c r="R41" s="46" t="s">
        <v>47</v>
      </c>
      <c r="S41" s="74" t="s">
        <v>47</v>
      </c>
      <c r="T41" s="74" t="s">
        <v>47</v>
      </c>
      <c r="U41" s="74" t="s">
        <v>47</v>
      </c>
      <c r="V41" s="141"/>
      <c r="W41" s="141"/>
      <c r="X41" s="141"/>
      <c r="Y41" s="139"/>
      <c r="Z41" s="43" t="s">
        <v>130</v>
      </c>
      <c r="AA41" s="43" t="s">
        <v>65</v>
      </c>
      <c r="AB41" s="53"/>
      <c r="AC41" s="54"/>
      <c r="AD41" s="76"/>
      <c r="AE41" s="53"/>
    </row>
    <row r="42" spans="2:31" s="28" customFormat="1" ht="94.5" hidden="1" outlineLevel="1" x14ac:dyDescent="0.25">
      <c r="B42" s="73"/>
      <c r="C42" s="137"/>
      <c r="D42" s="77" t="s">
        <v>108</v>
      </c>
      <c r="E42" s="74" t="s">
        <v>36</v>
      </c>
      <c r="F42" s="74">
        <v>5</v>
      </c>
      <c r="G42" s="49"/>
      <c r="H42" s="52">
        <v>2022</v>
      </c>
      <c r="I42" s="43"/>
      <c r="J42" s="48">
        <f>351120/1.12/1000</f>
        <v>313.49999999999994</v>
      </c>
      <c r="K42" s="49"/>
      <c r="L42" s="36">
        <f t="shared" si="0"/>
        <v>313.49999999999994</v>
      </c>
      <c r="M42" s="34"/>
      <c r="N42" s="50"/>
      <c r="O42" s="49">
        <v>0</v>
      </c>
      <c r="P42" s="49">
        <v>0</v>
      </c>
      <c r="Q42" s="49">
        <v>0</v>
      </c>
      <c r="R42" s="46" t="s">
        <v>47</v>
      </c>
      <c r="S42" s="74" t="s">
        <v>47</v>
      </c>
      <c r="T42" s="74" t="s">
        <v>47</v>
      </c>
      <c r="U42" s="74" t="s">
        <v>47</v>
      </c>
      <c r="V42" s="141"/>
      <c r="W42" s="141"/>
      <c r="X42" s="141"/>
      <c r="Y42" s="139"/>
      <c r="Z42" s="43" t="s">
        <v>130</v>
      </c>
      <c r="AA42" s="43" t="s">
        <v>65</v>
      </c>
      <c r="AB42" s="53"/>
      <c r="AC42" s="54"/>
      <c r="AD42" s="76"/>
      <c r="AE42" s="53"/>
    </row>
    <row r="43" spans="2:31" s="28" customFormat="1" ht="94.5" hidden="1" outlineLevel="1" x14ac:dyDescent="0.25">
      <c r="B43" s="73"/>
      <c r="C43" s="137"/>
      <c r="D43" s="77" t="s">
        <v>109</v>
      </c>
      <c r="E43" s="74" t="s">
        <v>36</v>
      </c>
      <c r="F43" s="74">
        <v>5</v>
      </c>
      <c r="G43" s="49"/>
      <c r="H43" s="52">
        <v>2022</v>
      </c>
      <c r="I43" s="43"/>
      <c r="J43" s="48">
        <f>112560/1.12/1000</f>
        <v>100.49999999999999</v>
      </c>
      <c r="K43" s="49"/>
      <c r="L43" s="36">
        <f t="shared" si="0"/>
        <v>100.49999999999999</v>
      </c>
      <c r="M43" s="34"/>
      <c r="N43" s="50"/>
      <c r="O43" s="49">
        <v>0</v>
      </c>
      <c r="P43" s="49">
        <v>0</v>
      </c>
      <c r="Q43" s="49">
        <v>0</v>
      </c>
      <c r="R43" s="46" t="s">
        <v>47</v>
      </c>
      <c r="S43" s="74" t="s">
        <v>47</v>
      </c>
      <c r="T43" s="74" t="s">
        <v>47</v>
      </c>
      <c r="U43" s="74" t="s">
        <v>47</v>
      </c>
      <c r="V43" s="141"/>
      <c r="W43" s="141"/>
      <c r="X43" s="141"/>
      <c r="Y43" s="139"/>
      <c r="Z43" s="43" t="s">
        <v>130</v>
      </c>
      <c r="AA43" s="43" t="s">
        <v>65</v>
      </c>
      <c r="AB43" s="53"/>
      <c r="AC43" s="54"/>
      <c r="AD43" s="76"/>
      <c r="AE43" s="53"/>
    </row>
    <row r="44" spans="2:31" s="28" customFormat="1" ht="94.5" hidden="1" outlineLevel="1" x14ac:dyDescent="0.25">
      <c r="B44" s="73"/>
      <c r="C44" s="137"/>
      <c r="D44" s="77" t="s">
        <v>110</v>
      </c>
      <c r="E44" s="74" t="s">
        <v>36</v>
      </c>
      <c r="F44" s="74">
        <v>5</v>
      </c>
      <c r="G44" s="49"/>
      <c r="H44" s="52">
        <v>2022</v>
      </c>
      <c r="I44" s="43"/>
      <c r="J44" s="48">
        <f>138320/1.12/1000</f>
        <v>123.49999999999999</v>
      </c>
      <c r="K44" s="49"/>
      <c r="L44" s="36">
        <f t="shared" si="0"/>
        <v>123.49999999999999</v>
      </c>
      <c r="M44" s="34"/>
      <c r="N44" s="50"/>
      <c r="O44" s="49">
        <v>0</v>
      </c>
      <c r="P44" s="49">
        <v>0</v>
      </c>
      <c r="Q44" s="49">
        <v>0</v>
      </c>
      <c r="R44" s="46" t="s">
        <v>47</v>
      </c>
      <c r="S44" s="74" t="s">
        <v>47</v>
      </c>
      <c r="T44" s="74" t="s">
        <v>47</v>
      </c>
      <c r="U44" s="74" t="s">
        <v>47</v>
      </c>
      <c r="V44" s="141"/>
      <c r="W44" s="141"/>
      <c r="X44" s="141"/>
      <c r="Y44" s="139"/>
      <c r="Z44" s="43" t="s">
        <v>130</v>
      </c>
      <c r="AA44" s="43" t="s">
        <v>65</v>
      </c>
      <c r="AB44" s="53"/>
      <c r="AC44" s="54"/>
      <c r="AD44" s="76"/>
      <c r="AE44" s="53"/>
    </row>
    <row r="45" spans="2:31" s="28" customFormat="1" ht="94.5" hidden="1" outlineLevel="1" x14ac:dyDescent="0.25">
      <c r="B45" s="73"/>
      <c r="C45" s="137"/>
      <c r="D45" s="77" t="s">
        <v>111</v>
      </c>
      <c r="E45" s="74" t="s">
        <v>36</v>
      </c>
      <c r="F45" s="74">
        <v>10</v>
      </c>
      <c r="G45" s="49"/>
      <c r="H45" s="52">
        <v>2022</v>
      </c>
      <c r="I45" s="43"/>
      <c r="J45" s="48">
        <f>3548160/1.12/1000</f>
        <v>3167.9999999999995</v>
      </c>
      <c r="K45" s="49"/>
      <c r="L45" s="36">
        <f t="shared" si="0"/>
        <v>3167.9999999999995</v>
      </c>
      <c r="M45" s="34"/>
      <c r="N45" s="50"/>
      <c r="O45" s="49">
        <v>0</v>
      </c>
      <c r="P45" s="49">
        <v>0</v>
      </c>
      <c r="Q45" s="49">
        <v>0</v>
      </c>
      <c r="R45" s="46" t="s">
        <v>47</v>
      </c>
      <c r="S45" s="74" t="s">
        <v>47</v>
      </c>
      <c r="T45" s="74" t="s">
        <v>47</v>
      </c>
      <c r="U45" s="74" t="s">
        <v>47</v>
      </c>
      <c r="V45" s="141"/>
      <c r="W45" s="141"/>
      <c r="X45" s="141"/>
      <c r="Y45" s="139"/>
      <c r="Z45" s="43" t="s">
        <v>130</v>
      </c>
      <c r="AA45" s="43" t="s">
        <v>65</v>
      </c>
      <c r="AB45" s="53"/>
      <c r="AC45" s="54"/>
      <c r="AD45" s="76"/>
      <c r="AE45" s="53"/>
    </row>
    <row r="46" spans="2:31" s="28" customFormat="1" ht="94.5" hidden="1" outlineLevel="1" x14ac:dyDescent="0.25">
      <c r="B46" s="73"/>
      <c r="C46" s="137"/>
      <c r="D46" s="77" t="s">
        <v>112</v>
      </c>
      <c r="E46" s="74" t="s">
        <v>36</v>
      </c>
      <c r="F46" s="74">
        <v>10</v>
      </c>
      <c r="G46" s="49"/>
      <c r="H46" s="52">
        <v>2022</v>
      </c>
      <c r="I46" s="43"/>
      <c r="J46" s="48">
        <f>3539200/1.12/1000</f>
        <v>3159.9999999999995</v>
      </c>
      <c r="K46" s="49"/>
      <c r="L46" s="36">
        <f t="shared" si="0"/>
        <v>3159.9999999999995</v>
      </c>
      <c r="M46" s="34"/>
      <c r="N46" s="50"/>
      <c r="O46" s="49">
        <v>0</v>
      </c>
      <c r="P46" s="49">
        <v>0</v>
      </c>
      <c r="Q46" s="49">
        <v>0</v>
      </c>
      <c r="R46" s="46" t="s">
        <v>47</v>
      </c>
      <c r="S46" s="74" t="s">
        <v>47</v>
      </c>
      <c r="T46" s="74" t="s">
        <v>47</v>
      </c>
      <c r="U46" s="74" t="s">
        <v>47</v>
      </c>
      <c r="V46" s="141"/>
      <c r="W46" s="141"/>
      <c r="X46" s="141"/>
      <c r="Y46" s="139"/>
      <c r="Z46" s="43" t="s">
        <v>130</v>
      </c>
      <c r="AA46" s="43" t="s">
        <v>65</v>
      </c>
      <c r="AB46" s="53"/>
      <c r="AC46" s="54"/>
      <c r="AD46" s="76"/>
      <c r="AE46" s="53"/>
    </row>
    <row r="47" spans="2:31" s="28" customFormat="1" ht="94.5" hidden="1" outlineLevel="1" x14ac:dyDescent="0.25">
      <c r="B47" s="73"/>
      <c r="C47" s="137"/>
      <c r="D47" s="77" t="s">
        <v>113</v>
      </c>
      <c r="E47" s="74" t="s">
        <v>122</v>
      </c>
      <c r="F47" s="74">
        <v>2000</v>
      </c>
      <c r="G47" s="49"/>
      <c r="H47" s="52">
        <v>2022</v>
      </c>
      <c r="I47" s="43"/>
      <c r="J47" s="48">
        <f>3584000/1.12/1000</f>
        <v>3199.9999999999995</v>
      </c>
      <c r="K47" s="49"/>
      <c r="L47" s="36">
        <f t="shared" si="0"/>
        <v>3199.9999999999995</v>
      </c>
      <c r="M47" s="34"/>
      <c r="N47" s="50"/>
      <c r="O47" s="49">
        <v>0</v>
      </c>
      <c r="P47" s="49">
        <v>0</v>
      </c>
      <c r="Q47" s="49">
        <v>0</v>
      </c>
      <c r="R47" s="46" t="s">
        <v>47</v>
      </c>
      <c r="S47" s="74" t="s">
        <v>47</v>
      </c>
      <c r="T47" s="74" t="s">
        <v>47</v>
      </c>
      <c r="U47" s="74" t="s">
        <v>47</v>
      </c>
      <c r="V47" s="141"/>
      <c r="W47" s="141"/>
      <c r="X47" s="141"/>
      <c r="Y47" s="139"/>
      <c r="Z47" s="43" t="s">
        <v>130</v>
      </c>
      <c r="AA47" s="43" t="s">
        <v>65</v>
      </c>
      <c r="AB47" s="53"/>
      <c r="AC47" s="54"/>
      <c r="AD47" s="76"/>
      <c r="AE47" s="53"/>
    </row>
    <row r="48" spans="2:31" s="28" customFormat="1" ht="94.5" hidden="1" outlineLevel="1" x14ac:dyDescent="0.25">
      <c r="B48" s="73"/>
      <c r="C48" s="137"/>
      <c r="D48" s="77" t="s">
        <v>114</v>
      </c>
      <c r="E48" s="74" t="s">
        <v>122</v>
      </c>
      <c r="F48" s="74">
        <v>2000</v>
      </c>
      <c r="G48" s="49"/>
      <c r="H48" s="52">
        <v>2022</v>
      </c>
      <c r="I48" s="43"/>
      <c r="J48" s="48">
        <f>1561280/1.12/1000</f>
        <v>1393.9999999999998</v>
      </c>
      <c r="K48" s="49"/>
      <c r="L48" s="36">
        <f t="shared" si="0"/>
        <v>1393.9999999999998</v>
      </c>
      <c r="M48" s="34"/>
      <c r="N48" s="50"/>
      <c r="O48" s="49">
        <v>0</v>
      </c>
      <c r="P48" s="49">
        <v>0</v>
      </c>
      <c r="Q48" s="49">
        <v>0</v>
      </c>
      <c r="R48" s="46" t="s">
        <v>47</v>
      </c>
      <c r="S48" s="74" t="s">
        <v>47</v>
      </c>
      <c r="T48" s="74" t="s">
        <v>47</v>
      </c>
      <c r="U48" s="74" t="s">
        <v>47</v>
      </c>
      <c r="V48" s="141"/>
      <c r="W48" s="141"/>
      <c r="X48" s="141"/>
      <c r="Y48" s="139"/>
      <c r="Z48" s="43" t="s">
        <v>130</v>
      </c>
      <c r="AA48" s="43" t="s">
        <v>65</v>
      </c>
      <c r="AB48" s="53"/>
      <c r="AC48" s="54"/>
      <c r="AD48" s="76"/>
      <c r="AE48" s="53"/>
    </row>
    <row r="49" spans="2:31" s="28" customFormat="1" ht="94.5" hidden="1" outlineLevel="1" x14ac:dyDescent="0.25">
      <c r="B49" s="73"/>
      <c r="C49" s="137"/>
      <c r="D49" s="77" t="s">
        <v>115</v>
      </c>
      <c r="E49" s="74" t="s">
        <v>122</v>
      </c>
      <c r="F49" s="74">
        <v>2000</v>
      </c>
      <c r="G49" s="49"/>
      <c r="H49" s="52">
        <v>2022</v>
      </c>
      <c r="I49" s="43"/>
      <c r="J49" s="48">
        <f>6117440/1.12/1000</f>
        <v>5461.9999999999991</v>
      </c>
      <c r="K49" s="49"/>
      <c r="L49" s="36">
        <f t="shared" si="0"/>
        <v>5461.9999999999991</v>
      </c>
      <c r="M49" s="34"/>
      <c r="N49" s="50"/>
      <c r="O49" s="49">
        <v>0</v>
      </c>
      <c r="P49" s="49">
        <v>0</v>
      </c>
      <c r="Q49" s="49">
        <v>0</v>
      </c>
      <c r="R49" s="46" t="s">
        <v>47</v>
      </c>
      <c r="S49" s="74" t="s">
        <v>47</v>
      </c>
      <c r="T49" s="74" t="s">
        <v>47</v>
      </c>
      <c r="U49" s="74" t="s">
        <v>47</v>
      </c>
      <c r="V49" s="141"/>
      <c r="W49" s="141"/>
      <c r="X49" s="141"/>
      <c r="Y49" s="139"/>
      <c r="Z49" s="43" t="s">
        <v>130</v>
      </c>
      <c r="AA49" s="43" t="s">
        <v>65</v>
      </c>
      <c r="AB49" s="53"/>
      <c r="AC49" s="54"/>
      <c r="AD49" s="76"/>
      <c r="AE49" s="53"/>
    </row>
    <row r="50" spans="2:31" s="28" customFormat="1" ht="94.5" hidden="1" outlineLevel="1" x14ac:dyDescent="0.25">
      <c r="B50" s="73"/>
      <c r="C50" s="137"/>
      <c r="D50" s="77" t="s">
        <v>116</v>
      </c>
      <c r="E50" s="74" t="s">
        <v>36</v>
      </c>
      <c r="F50" s="74">
        <v>100</v>
      </c>
      <c r="G50" s="49"/>
      <c r="H50" s="52">
        <v>2022</v>
      </c>
      <c r="I50" s="43"/>
      <c r="J50" s="48">
        <f>560000/1.12/1000</f>
        <v>499.99999999999994</v>
      </c>
      <c r="K50" s="49"/>
      <c r="L50" s="36">
        <f t="shared" si="0"/>
        <v>499.99999999999994</v>
      </c>
      <c r="M50" s="34"/>
      <c r="N50" s="50"/>
      <c r="O50" s="49">
        <v>0</v>
      </c>
      <c r="P50" s="49">
        <v>0</v>
      </c>
      <c r="Q50" s="49">
        <v>0</v>
      </c>
      <c r="R50" s="46" t="s">
        <v>47</v>
      </c>
      <c r="S50" s="74" t="s">
        <v>47</v>
      </c>
      <c r="T50" s="74" t="s">
        <v>47</v>
      </c>
      <c r="U50" s="74" t="s">
        <v>47</v>
      </c>
      <c r="V50" s="141"/>
      <c r="W50" s="141"/>
      <c r="X50" s="141"/>
      <c r="Y50" s="139"/>
      <c r="Z50" s="43" t="s">
        <v>130</v>
      </c>
      <c r="AA50" s="43" t="s">
        <v>65</v>
      </c>
      <c r="AB50" s="53"/>
      <c r="AC50" s="54"/>
      <c r="AD50" s="76"/>
      <c r="AE50" s="53"/>
    </row>
    <row r="51" spans="2:31" s="28" customFormat="1" ht="94.5" hidden="1" outlineLevel="1" x14ac:dyDescent="0.25">
      <c r="B51" s="73"/>
      <c r="C51" s="137"/>
      <c r="D51" s="77" t="s">
        <v>117</v>
      </c>
      <c r="E51" s="74" t="s">
        <v>36</v>
      </c>
      <c r="F51" s="74">
        <v>100</v>
      </c>
      <c r="G51" s="49"/>
      <c r="H51" s="52">
        <v>2022</v>
      </c>
      <c r="I51" s="43"/>
      <c r="J51" s="48">
        <f>505120/1.12/1000</f>
        <v>450.99999999999994</v>
      </c>
      <c r="K51" s="49"/>
      <c r="L51" s="36">
        <f t="shared" si="0"/>
        <v>450.99999999999994</v>
      </c>
      <c r="M51" s="34"/>
      <c r="N51" s="50"/>
      <c r="O51" s="49">
        <v>0</v>
      </c>
      <c r="P51" s="49">
        <v>0</v>
      </c>
      <c r="Q51" s="49">
        <v>0</v>
      </c>
      <c r="R51" s="46" t="s">
        <v>47</v>
      </c>
      <c r="S51" s="74" t="s">
        <v>47</v>
      </c>
      <c r="T51" s="74" t="s">
        <v>47</v>
      </c>
      <c r="U51" s="74" t="s">
        <v>47</v>
      </c>
      <c r="V51" s="141"/>
      <c r="W51" s="141"/>
      <c r="X51" s="141"/>
      <c r="Y51" s="139"/>
      <c r="Z51" s="43" t="s">
        <v>130</v>
      </c>
      <c r="AA51" s="43" t="s">
        <v>65</v>
      </c>
      <c r="AB51" s="53"/>
      <c r="AC51" s="54"/>
      <c r="AD51" s="76"/>
      <c r="AE51" s="53"/>
    </row>
    <row r="52" spans="2:31" s="28" customFormat="1" ht="94.5" hidden="1" outlineLevel="1" x14ac:dyDescent="0.25">
      <c r="B52" s="73"/>
      <c r="C52" s="137"/>
      <c r="D52" s="77" t="s">
        <v>118</v>
      </c>
      <c r="E52" s="74" t="s">
        <v>36</v>
      </c>
      <c r="F52" s="74">
        <v>5</v>
      </c>
      <c r="G52" s="49"/>
      <c r="H52" s="52">
        <v>2022</v>
      </c>
      <c r="I52" s="43"/>
      <c r="J52" s="48">
        <f>326480/1.12/1000</f>
        <v>291.5</v>
      </c>
      <c r="K52" s="49"/>
      <c r="L52" s="36">
        <f t="shared" si="0"/>
        <v>291.5</v>
      </c>
      <c r="M52" s="34"/>
      <c r="N52" s="50"/>
      <c r="O52" s="49">
        <v>0</v>
      </c>
      <c r="P52" s="49">
        <v>0</v>
      </c>
      <c r="Q52" s="49">
        <v>0</v>
      </c>
      <c r="R52" s="46" t="s">
        <v>47</v>
      </c>
      <c r="S52" s="74" t="s">
        <v>47</v>
      </c>
      <c r="T52" s="74" t="s">
        <v>47</v>
      </c>
      <c r="U52" s="74" t="s">
        <v>47</v>
      </c>
      <c r="V52" s="141"/>
      <c r="W52" s="141"/>
      <c r="X52" s="141"/>
      <c r="Y52" s="139"/>
      <c r="Z52" s="43" t="s">
        <v>130</v>
      </c>
      <c r="AA52" s="43" t="s">
        <v>65</v>
      </c>
      <c r="AB52" s="53"/>
      <c r="AC52" s="54"/>
      <c r="AD52" s="76"/>
      <c r="AE52" s="53"/>
    </row>
    <row r="53" spans="2:31" s="28" customFormat="1" ht="94.5" hidden="1" outlineLevel="1" x14ac:dyDescent="0.25">
      <c r="B53" s="73"/>
      <c r="C53" s="137"/>
      <c r="D53" s="77" t="s">
        <v>119</v>
      </c>
      <c r="E53" s="74" t="s">
        <v>36</v>
      </c>
      <c r="F53" s="74">
        <v>5</v>
      </c>
      <c r="G53" s="49"/>
      <c r="H53" s="52">
        <v>2022</v>
      </c>
      <c r="I53" s="43"/>
      <c r="J53" s="48">
        <f>404264/1.12/1000</f>
        <v>360.94999999999993</v>
      </c>
      <c r="K53" s="49"/>
      <c r="L53" s="36">
        <f t="shared" si="0"/>
        <v>360.94999999999993</v>
      </c>
      <c r="M53" s="34"/>
      <c r="N53" s="50"/>
      <c r="O53" s="49">
        <v>0</v>
      </c>
      <c r="P53" s="49">
        <v>0</v>
      </c>
      <c r="Q53" s="49">
        <v>0</v>
      </c>
      <c r="R53" s="46" t="s">
        <v>47</v>
      </c>
      <c r="S53" s="74" t="s">
        <v>47</v>
      </c>
      <c r="T53" s="74" t="s">
        <v>47</v>
      </c>
      <c r="U53" s="74" t="s">
        <v>47</v>
      </c>
      <c r="V53" s="141"/>
      <c r="W53" s="141"/>
      <c r="X53" s="141"/>
      <c r="Y53" s="139"/>
      <c r="Z53" s="43" t="s">
        <v>130</v>
      </c>
      <c r="AA53" s="43" t="s">
        <v>65</v>
      </c>
      <c r="AB53" s="53"/>
      <c r="AC53" s="54"/>
      <c r="AD53" s="76"/>
      <c r="AE53" s="53"/>
    </row>
    <row r="54" spans="2:31" s="28" customFormat="1" ht="94.5" hidden="1" outlineLevel="1" x14ac:dyDescent="0.25">
      <c r="B54" s="73"/>
      <c r="C54" s="137"/>
      <c r="D54" s="77" t="s">
        <v>120</v>
      </c>
      <c r="E54" s="74" t="s">
        <v>36</v>
      </c>
      <c r="F54" s="74">
        <v>2</v>
      </c>
      <c r="G54" s="49"/>
      <c r="H54" s="52">
        <v>2022</v>
      </c>
      <c r="I54" s="43"/>
      <c r="J54" s="48">
        <f>23242050/1.12/1000</f>
        <v>20751.830357142855</v>
      </c>
      <c r="K54" s="49"/>
      <c r="L54" s="36">
        <f t="shared" si="0"/>
        <v>20751.830357142855</v>
      </c>
      <c r="M54" s="34"/>
      <c r="N54" s="50"/>
      <c r="O54" s="49">
        <v>0</v>
      </c>
      <c r="P54" s="49">
        <v>0</v>
      </c>
      <c r="Q54" s="49">
        <v>0</v>
      </c>
      <c r="R54" s="46" t="s">
        <v>47</v>
      </c>
      <c r="S54" s="74" t="s">
        <v>47</v>
      </c>
      <c r="T54" s="74" t="s">
        <v>47</v>
      </c>
      <c r="U54" s="74" t="s">
        <v>47</v>
      </c>
      <c r="V54" s="141"/>
      <c r="W54" s="141"/>
      <c r="X54" s="141"/>
      <c r="Y54" s="139"/>
      <c r="Z54" s="43" t="s">
        <v>126</v>
      </c>
      <c r="AA54" s="43" t="s">
        <v>65</v>
      </c>
      <c r="AB54" s="53"/>
      <c r="AC54" s="54"/>
      <c r="AD54" s="76"/>
      <c r="AE54" s="53"/>
    </row>
    <row r="55" spans="2:31" s="28" customFormat="1" ht="94.5" hidden="1" outlineLevel="1" x14ac:dyDescent="0.25">
      <c r="B55" s="73"/>
      <c r="C55" s="137"/>
      <c r="D55" s="77" t="s">
        <v>121</v>
      </c>
      <c r="E55" s="74" t="s">
        <v>36</v>
      </c>
      <c r="F55" s="74">
        <v>2</v>
      </c>
      <c r="G55" s="49"/>
      <c r="H55" s="52">
        <v>2022</v>
      </c>
      <c r="I55" s="43"/>
      <c r="J55" s="48">
        <f>824000/1.12/1000</f>
        <v>735.71428571428567</v>
      </c>
      <c r="K55" s="49"/>
      <c r="L55" s="36">
        <f t="shared" si="0"/>
        <v>735.71428571428567</v>
      </c>
      <c r="M55" s="34"/>
      <c r="N55" s="50"/>
      <c r="O55" s="49">
        <v>0</v>
      </c>
      <c r="P55" s="49">
        <v>0</v>
      </c>
      <c r="Q55" s="49">
        <v>0</v>
      </c>
      <c r="R55" s="46" t="s">
        <v>47</v>
      </c>
      <c r="S55" s="74" t="s">
        <v>47</v>
      </c>
      <c r="T55" s="74" t="s">
        <v>47</v>
      </c>
      <c r="U55" s="74" t="s">
        <v>47</v>
      </c>
      <c r="V55" s="141"/>
      <c r="W55" s="141"/>
      <c r="X55" s="141"/>
      <c r="Y55" s="139"/>
      <c r="Z55" s="43" t="s">
        <v>126</v>
      </c>
      <c r="AA55" s="43" t="s">
        <v>65</v>
      </c>
      <c r="AB55" s="53"/>
      <c r="AC55" s="54"/>
      <c r="AD55" s="76"/>
      <c r="AE55" s="53"/>
    </row>
    <row r="56" spans="2:31" s="28" customFormat="1" ht="67.5" customHeight="1" collapsed="1" x14ac:dyDescent="0.25">
      <c r="B56" s="73">
        <v>15</v>
      </c>
      <c r="C56" s="137"/>
      <c r="D56" s="77" t="s">
        <v>124</v>
      </c>
      <c r="E56" s="74" t="s">
        <v>34</v>
      </c>
      <c r="F56" s="74">
        <v>1</v>
      </c>
      <c r="G56" s="49">
        <v>0</v>
      </c>
      <c r="H56" s="52">
        <v>2022</v>
      </c>
      <c r="I56" s="43"/>
      <c r="J56" s="48">
        <f>10500000/1.12/1000</f>
        <v>9375</v>
      </c>
      <c r="K56" s="49">
        <v>0</v>
      </c>
      <c r="L56" s="36">
        <f t="shared" si="0"/>
        <v>9375</v>
      </c>
      <c r="M56" s="34" t="str">
        <f>Z56</f>
        <v>Ведутся процедуры по закупке товаров, работ и услуг.</v>
      </c>
      <c r="N56" s="50">
        <f>J56</f>
        <v>9375</v>
      </c>
      <c r="O56" s="49">
        <v>0</v>
      </c>
      <c r="P56" s="49">
        <v>0</v>
      </c>
      <c r="Q56" s="49">
        <v>0</v>
      </c>
      <c r="R56" s="46" t="s">
        <v>47</v>
      </c>
      <c r="S56" s="74" t="s">
        <v>47</v>
      </c>
      <c r="T56" s="74" t="s">
        <v>47</v>
      </c>
      <c r="U56" s="74" t="s">
        <v>47</v>
      </c>
      <c r="V56" s="141"/>
      <c r="W56" s="141"/>
      <c r="X56" s="141"/>
      <c r="Y56" s="139"/>
      <c r="Z56" s="43" t="s">
        <v>126</v>
      </c>
      <c r="AA56" s="43" t="s">
        <v>65</v>
      </c>
      <c r="AB56" s="53"/>
      <c r="AC56" s="54"/>
      <c r="AD56" s="76"/>
      <c r="AE56" s="53"/>
    </row>
    <row r="57" spans="2:31" s="28" customFormat="1" ht="82.5" customHeight="1" x14ac:dyDescent="0.25">
      <c r="B57" s="73">
        <v>16</v>
      </c>
      <c r="C57" s="137"/>
      <c r="D57" s="77" t="s">
        <v>128</v>
      </c>
      <c r="E57" s="74" t="s">
        <v>35</v>
      </c>
      <c r="F57" s="74">
        <v>1</v>
      </c>
      <c r="G57" s="49">
        <v>0</v>
      </c>
      <c r="H57" s="52">
        <v>2022</v>
      </c>
      <c r="I57" s="43"/>
      <c r="J57" s="48">
        <f>14347200/1.12/1000</f>
        <v>12809.999999999998</v>
      </c>
      <c r="K57" s="49">
        <v>0</v>
      </c>
      <c r="L57" s="36">
        <f t="shared" si="0"/>
        <v>12809.999999999998</v>
      </c>
      <c r="M57" s="34" t="str">
        <f>Z57</f>
        <v>Ведутся процедуры по закупке товаров, работ и услуг.</v>
      </c>
      <c r="N57" s="50">
        <f>J57</f>
        <v>12809.999999999998</v>
      </c>
      <c r="O57" s="49">
        <v>0</v>
      </c>
      <c r="P57" s="49">
        <v>0</v>
      </c>
      <c r="Q57" s="49">
        <v>0</v>
      </c>
      <c r="R57" s="46" t="s">
        <v>47</v>
      </c>
      <c r="S57" s="74" t="s">
        <v>47</v>
      </c>
      <c r="T57" s="74" t="s">
        <v>47</v>
      </c>
      <c r="U57" s="74" t="s">
        <v>47</v>
      </c>
      <c r="V57" s="141"/>
      <c r="W57" s="141"/>
      <c r="X57" s="141"/>
      <c r="Y57" s="139"/>
      <c r="Z57" s="43" t="s">
        <v>126</v>
      </c>
      <c r="AA57" s="43" t="s">
        <v>65</v>
      </c>
      <c r="AB57" s="53"/>
      <c r="AC57" s="54"/>
      <c r="AD57" s="76"/>
      <c r="AE57" s="53"/>
    </row>
    <row r="58" spans="2:31" s="28" customFormat="1" ht="78" customHeight="1" x14ac:dyDescent="0.25">
      <c r="B58" s="73">
        <v>17</v>
      </c>
      <c r="C58" s="137"/>
      <c r="D58" s="77" t="s">
        <v>91</v>
      </c>
      <c r="E58" s="74" t="s">
        <v>34</v>
      </c>
      <c r="F58" s="74">
        <v>1</v>
      </c>
      <c r="G58" s="49">
        <v>0</v>
      </c>
      <c r="H58" s="52">
        <v>2022</v>
      </c>
      <c r="I58" s="43"/>
      <c r="J58" s="48">
        <f>17723711/1.12/1000</f>
        <v>15824.741964285713</v>
      </c>
      <c r="K58" s="49">
        <v>0</v>
      </c>
      <c r="L58" s="36">
        <f t="shared" si="0"/>
        <v>15824.741964285713</v>
      </c>
      <c r="M58" s="34" t="str">
        <f>Z58</f>
        <v>Ведутся процедуры по закупке товаров, работ и услуг</v>
      </c>
      <c r="N58" s="50">
        <f>J58</f>
        <v>15824.741964285713</v>
      </c>
      <c r="O58" s="49">
        <v>0</v>
      </c>
      <c r="P58" s="49">
        <v>0</v>
      </c>
      <c r="Q58" s="49">
        <v>0</v>
      </c>
      <c r="R58" s="46" t="s">
        <v>47</v>
      </c>
      <c r="S58" s="74" t="s">
        <v>47</v>
      </c>
      <c r="T58" s="74" t="s">
        <v>47</v>
      </c>
      <c r="U58" s="74" t="s">
        <v>47</v>
      </c>
      <c r="V58" s="141"/>
      <c r="W58" s="141"/>
      <c r="X58" s="141"/>
      <c r="Y58" s="139"/>
      <c r="Z58" s="43" t="s">
        <v>64</v>
      </c>
      <c r="AA58" s="43" t="s">
        <v>65</v>
      </c>
      <c r="AB58" s="53" t="s">
        <v>54</v>
      </c>
      <c r="AC58" s="54">
        <v>8.9169642857142897</v>
      </c>
      <c r="AD58" s="76">
        <f>AC58*1000</f>
        <v>8916.9642857142899</v>
      </c>
      <c r="AE58" s="53" t="b">
        <f>J58=AD58</f>
        <v>0</v>
      </c>
    </row>
    <row r="59" spans="2:31" s="28" customFormat="1" ht="90" customHeight="1" thickBot="1" x14ac:dyDescent="0.3">
      <c r="B59" s="80">
        <v>18</v>
      </c>
      <c r="C59" s="138"/>
      <c r="D59" s="81" t="s">
        <v>144</v>
      </c>
      <c r="E59" s="81" t="s">
        <v>34</v>
      </c>
      <c r="F59" s="81">
        <v>1</v>
      </c>
      <c r="G59" s="61">
        <v>0</v>
      </c>
      <c r="H59" s="65">
        <v>2022</v>
      </c>
      <c r="I59" s="55"/>
      <c r="J59" s="60">
        <f>(4970558.88+420249.984+158047.9936+24799.9808+150519.9808+540229.984+100149.9968+68199.9808+23149.9968+4581.69279996306)/1.12/1000</f>
        <v>5768.2932771428241</v>
      </c>
      <c r="K59" s="61">
        <v>0</v>
      </c>
      <c r="L59" s="82">
        <f>J59-K59</f>
        <v>5768.2932771428241</v>
      </c>
      <c r="M59" s="62" t="str">
        <f>Z59</f>
        <v>Ведутся процедуры по закупке товаров, работ и услуг</v>
      </c>
      <c r="N59" s="83">
        <f>J59</f>
        <v>5768.2932771428241</v>
      </c>
      <c r="O59" s="61">
        <v>0</v>
      </c>
      <c r="P59" s="61">
        <v>0</v>
      </c>
      <c r="Q59" s="59">
        <v>0</v>
      </c>
      <c r="R59" s="58" t="s">
        <v>47</v>
      </c>
      <c r="S59" s="81" t="s">
        <v>47</v>
      </c>
      <c r="T59" s="81" t="s">
        <v>47</v>
      </c>
      <c r="U59" s="81" t="s">
        <v>47</v>
      </c>
      <c r="V59" s="142"/>
      <c r="W59" s="142"/>
      <c r="X59" s="142"/>
      <c r="Y59" s="140"/>
      <c r="Z59" s="55" t="s">
        <v>64</v>
      </c>
      <c r="AA59" s="55" t="s">
        <v>65</v>
      </c>
      <c r="AB59" s="53" t="s">
        <v>55</v>
      </c>
      <c r="AC59" s="54">
        <v>10.832571428178571</v>
      </c>
      <c r="AD59" s="76">
        <f>AC59*1000</f>
        <v>10832.571428178571</v>
      </c>
      <c r="AE59" s="53" t="b">
        <f>J59=AD59</f>
        <v>0</v>
      </c>
    </row>
    <row r="60" spans="2:31" s="28" customFormat="1" x14ac:dyDescent="0.25">
      <c r="AB60" s="53"/>
      <c r="AC60" s="54"/>
      <c r="AD60" s="29"/>
    </row>
    <row r="61" spans="2:31" s="28" customFormat="1" x14ac:dyDescent="0.25">
      <c r="AB61" s="53"/>
      <c r="AC61" s="54"/>
      <c r="AD61" s="29"/>
    </row>
    <row r="62" spans="2:31" s="28" customFormat="1" x14ac:dyDescent="0.25">
      <c r="AB62" s="53"/>
      <c r="AC62" s="54"/>
      <c r="AD62" s="29"/>
    </row>
    <row r="63" spans="2:31" s="28" customFormat="1" x14ac:dyDescent="0.25">
      <c r="AB63" s="53"/>
      <c r="AC63" s="54"/>
      <c r="AD63" s="29"/>
    </row>
    <row r="64" spans="2:31" s="28" customFormat="1" x14ac:dyDescent="0.25">
      <c r="AB64" s="53"/>
      <c r="AC64" s="54"/>
      <c r="AD64" s="29"/>
    </row>
    <row r="65" spans="28:30" s="28" customFormat="1" x14ac:dyDescent="0.25">
      <c r="AB65" s="53"/>
      <c r="AC65" s="54"/>
      <c r="AD65" s="29"/>
    </row>
    <row r="66" spans="28:30" s="28" customFormat="1" x14ac:dyDescent="0.25">
      <c r="AB66" s="53"/>
      <c r="AC66" s="54"/>
      <c r="AD66" s="29"/>
    </row>
    <row r="67" spans="28:30" s="28" customFormat="1" x14ac:dyDescent="0.25">
      <c r="AB67" s="53"/>
      <c r="AC67" s="54"/>
      <c r="AD67" s="29"/>
    </row>
    <row r="68" spans="28:30" s="28" customFormat="1" x14ac:dyDescent="0.25">
      <c r="AB68" s="53"/>
      <c r="AC68" s="54"/>
      <c r="AD68" s="29"/>
    </row>
    <row r="69" spans="28:30" s="28" customFormat="1" x14ac:dyDescent="0.25">
      <c r="AB69" s="53"/>
      <c r="AC69" s="54"/>
      <c r="AD69" s="29"/>
    </row>
    <row r="70" spans="28:30" s="28" customFormat="1" x14ac:dyDescent="0.25">
      <c r="AB70" s="53"/>
      <c r="AC70" s="54"/>
      <c r="AD70" s="29"/>
    </row>
    <row r="71" spans="28:30" s="28" customFormat="1" x14ac:dyDescent="0.25">
      <c r="AB71" s="53"/>
      <c r="AC71" s="54"/>
      <c r="AD71" s="29"/>
    </row>
    <row r="72" spans="28:30" s="28" customFormat="1" x14ac:dyDescent="0.25">
      <c r="AB72" s="53"/>
      <c r="AC72" s="54"/>
      <c r="AD72" s="29"/>
    </row>
    <row r="73" spans="28:30" s="28" customFormat="1" x14ac:dyDescent="0.25">
      <c r="AB73" s="53"/>
      <c r="AC73" s="54"/>
      <c r="AD73" s="29"/>
    </row>
    <row r="74" spans="28:30" s="28" customFormat="1" x14ac:dyDescent="0.25">
      <c r="AB74" s="53"/>
      <c r="AC74" s="54"/>
      <c r="AD74" s="29"/>
    </row>
    <row r="75" spans="28:30" s="28" customFormat="1" x14ac:dyDescent="0.25">
      <c r="AB75" s="53"/>
      <c r="AC75" s="54"/>
      <c r="AD75" s="29"/>
    </row>
    <row r="76" spans="28:30" s="28" customFormat="1" x14ac:dyDescent="0.25">
      <c r="AB76" s="53"/>
      <c r="AC76" s="54"/>
      <c r="AD76" s="29"/>
    </row>
    <row r="77" spans="28:30" s="28" customFormat="1" x14ac:dyDescent="0.25">
      <c r="AB77" s="53"/>
      <c r="AC77" s="54"/>
      <c r="AD77" s="29"/>
    </row>
    <row r="78" spans="28:30" s="28" customFormat="1" x14ac:dyDescent="0.25">
      <c r="AB78" s="53"/>
      <c r="AC78" s="54"/>
      <c r="AD78" s="29"/>
    </row>
    <row r="79" spans="28:30" s="28" customFormat="1" x14ac:dyDescent="0.25">
      <c r="AB79" s="53"/>
      <c r="AC79" s="54"/>
      <c r="AD79" s="29"/>
    </row>
    <row r="80" spans="28:30" s="28" customFormat="1" x14ac:dyDescent="0.25">
      <c r="AB80" s="53"/>
      <c r="AC80" s="54"/>
      <c r="AD80" s="29"/>
    </row>
    <row r="81" spans="28:30" s="28" customFormat="1" x14ac:dyDescent="0.25">
      <c r="AB81" s="53"/>
      <c r="AC81" s="54"/>
      <c r="AD81" s="29"/>
    </row>
    <row r="82" spans="28:30" s="28" customFormat="1" x14ac:dyDescent="0.25">
      <c r="AB82" s="53"/>
      <c r="AC82" s="54"/>
      <c r="AD82" s="29"/>
    </row>
    <row r="83" spans="28:30" s="28" customFormat="1" x14ac:dyDescent="0.25">
      <c r="AB83" s="53"/>
      <c r="AC83" s="54"/>
      <c r="AD83" s="29"/>
    </row>
    <row r="84" spans="28:30" s="28" customFormat="1" x14ac:dyDescent="0.25">
      <c r="AB84" s="53"/>
      <c r="AC84" s="54"/>
      <c r="AD84" s="29"/>
    </row>
    <row r="85" spans="28:30" s="28" customFormat="1" x14ac:dyDescent="0.25">
      <c r="AB85" s="53"/>
      <c r="AC85" s="54"/>
      <c r="AD85" s="29"/>
    </row>
    <row r="86" spans="28:30" s="28" customFormat="1" x14ac:dyDescent="0.25">
      <c r="AB86" s="53"/>
      <c r="AC86" s="54"/>
      <c r="AD86" s="29"/>
    </row>
    <row r="87" spans="28:30" s="28" customFormat="1" x14ac:dyDescent="0.25">
      <c r="AB87" s="53"/>
      <c r="AC87" s="54"/>
      <c r="AD87" s="29"/>
    </row>
    <row r="88" spans="28:30" s="28" customFormat="1" x14ac:dyDescent="0.25">
      <c r="AB88" s="53"/>
      <c r="AC88" s="54"/>
      <c r="AD88" s="29"/>
    </row>
    <row r="89" spans="28:30" s="28" customFormat="1" x14ac:dyDescent="0.25">
      <c r="AB89" s="53"/>
      <c r="AC89" s="54"/>
      <c r="AD89" s="29"/>
    </row>
    <row r="90" spans="28:30" s="28" customFormat="1" x14ac:dyDescent="0.25">
      <c r="AB90" s="53"/>
      <c r="AC90" s="54"/>
      <c r="AD90" s="29"/>
    </row>
    <row r="91" spans="28:30" s="28" customFormat="1" x14ac:dyDescent="0.25">
      <c r="AB91" s="53"/>
      <c r="AC91" s="54"/>
      <c r="AD91" s="29"/>
    </row>
    <row r="92" spans="28:30" s="28" customFormat="1" x14ac:dyDescent="0.25">
      <c r="AB92" s="53"/>
      <c r="AC92" s="54"/>
      <c r="AD92" s="29"/>
    </row>
    <row r="93" spans="28:30" s="28" customFormat="1" x14ac:dyDescent="0.25">
      <c r="AB93" s="53"/>
      <c r="AC93" s="54"/>
      <c r="AD93" s="29"/>
    </row>
    <row r="94" spans="28:30" s="28" customFormat="1" x14ac:dyDescent="0.25">
      <c r="AB94" s="53"/>
      <c r="AC94" s="54"/>
      <c r="AD94" s="29"/>
    </row>
    <row r="95" spans="28:30" s="28" customFormat="1" x14ac:dyDescent="0.25">
      <c r="AB95" s="53"/>
      <c r="AC95" s="54"/>
      <c r="AD95" s="29"/>
    </row>
    <row r="96" spans="28:30" s="28" customFormat="1" x14ac:dyDescent="0.25">
      <c r="AB96" s="53"/>
      <c r="AC96" s="54"/>
      <c r="AD96" s="29"/>
    </row>
    <row r="97" spans="28:30" s="28" customFormat="1" x14ac:dyDescent="0.25">
      <c r="AB97" s="53"/>
      <c r="AC97" s="54"/>
      <c r="AD97" s="29"/>
    </row>
    <row r="98" spans="28:30" s="28" customFormat="1" x14ac:dyDescent="0.25">
      <c r="AB98" s="53"/>
      <c r="AC98" s="54"/>
      <c r="AD98" s="29"/>
    </row>
    <row r="99" spans="28:30" s="28" customFormat="1" x14ac:dyDescent="0.25">
      <c r="AB99" s="53"/>
      <c r="AC99" s="54"/>
      <c r="AD99" s="29"/>
    </row>
    <row r="100" spans="28:30" s="28" customFormat="1" x14ac:dyDescent="0.25">
      <c r="AB100" s="53"/>
      <c r="AC100" s="54"/>
      <c r="AD100" s="29"/>
    </row>
    <row r="101" spans="28:30" s="28" customFormat="1" x14ac:dyDescent="0.25">
      <c r="AB101" s="53"/>
      <c r="AC101" s="54"/>
      <c r="AD101" s="29"/>
    </row>
    <row r="102" spans="28:30" s="28" customFormat="1" x14ac:dyDescent="0.25">
      <c r="AB102" s="53"/>
      <c r="AC102" s="54"/>
      <c r="AD102" s="29"/>
    </row>
    <row r="103" spans="28:30" s="28" customFormat="1" x14ac:dyDescent="0.25">
      <c r="AB103" s="53"/>
      <c r="AC103" s="54"/>
      <c r="AD103" s="29"/>
    </row>
    <row r="104" spans="28:30" s="28" customFormat="1" x14ac:dyDescent="0.25">
      <c r="AB104" s="53"/>
      <c r="AC104" s="54"/>
      <c r="AD104" s="29"/>
    </row>
    <row r="105" spans="28:30" s="28" customFormat="1" x14ac:dyDescent="0.25">
      <c r="AB105" s="53"/>
      <c r="AC105" s="54"/>
      <c r="AD105" s="29"/>
    </row>
    <row r="106" spans="28:30" s="28" customFormat="1" x14ac:dyDescent="0.25">
      <c r="AB106" s="53"/>
      <c r="AC106" s="54"/>
      <c r="AD106" s="29"/>
    </row>
    <row r="107" spans="28:30" s="28" customFormat="1" x14ac:dyDescent="0.25">
      <c r="AB107" s="53"/>
      <c r="AC107" s="54"/>
      <c r="AD107" s="29"/>
    </row>
    <row r="108" spans="28:30" s="28" customFormat="1" x14ac:dyDescent="0.25">
      <c r="AB108" s="53"/>
      <c r="AC108" s="54"/>
      <c r="AD108" s="29"/>
    </row>
    <row r="109" spans="28:30" s="28" customFormat="1" x14ac:dyDescent="0.25">
      <c r="AB109" s="53"/>
      <c r="AC109" s="54"/>
      <c r="AD109" s="29"/>
    </row>
    <row r="110" spans="28:30" s="28" customFormat="1" x14ac:dyDescent="0.25">
      <c r="AB110" s="53"/>
      <c r="AC110" s="54"/>
      <c r="AD110" s="29"/>
    </row>
    <row r="111" spans="28:30" s="28" customFormat="1" x14ac:dyDescent="0.25">
      <c r="AB111" s="53"/>
      <c r="AC111" s="54"/>
      <c r="AD111" s="29"/>
    </row>
    <row r="112" spans="28:30" s="28" customFormat="1" x14ac:dyDescent="0.25">
      <c r="AB112" s="53"/>
      <c r="AC112" s="54"/>
      <c r="AD112" s="29"/>
    </row>
    <row r="113" spans="28:30" s="28" customFormat="1" x14ac:dyDescent="0.25">
      <c r="AB113" s="53"/>
      <c r="AC113" s="54"/>
      <c r="AD113" s="29"/>
    </row>
    <row r="114" spans="28:30" s="28" customFormat="1" x14ac:dyDescent="0.25">
      <c r="AB114" s="53"/>
      <c r="AC114" s="54"/>
      <c r="AD114" s="29"/>
    </row>
    <row r="115" spans="28:30" s="28" customFormat="1" x14ac:dyDescent="0.25">
      <c r="AB115" s="53"/>
      <c r="AC115" s="54"/>
      <c r="AD115" s="29"/>
    </row>
    <row r="116" spans="28:30" s="28" customFormat="1" x14ac:dyDescent="0.25">
      <c r="AB116" s="53"/>
      <c r="AC116" s="54"/>
      <c r="AD116" s="29"/>
    </row>
    <row r="117" spans="28:30" s="28" customFormat="1" x14ac:dyDescent="0.25">
      <c r="AB117" s="53"/>
      <c r="AC117" s="54"/>
      <c r="AD117" s="29"/>
    </row>
    <row r="118" spans="28:30" s="28" customFormat="1" x14ac:dyDescent="0.25">
      <c r="AB118" s="53"/>
      <c r="AC118" s="54"/>
      <c r="AD118" s="29"/>
    </row>
    <row r="119" spans="28:30" s="28" customFormat="1" x14ac:dyDescent="0.25">
      <c r="AB119" s="53"/>
      <c r="AC119" s="54"/>
      <c r="AD119" s="29"/>
    </row>
    <row r="120" spans="28:30" s="28" customFormat="1" x14ac:dyDescent="0.25">
      <c r="AB120" s="53"/>
      <c r="AC120" s="54"/>
      <c r="AD120" s="29"/>
    </row>
    <row r="121" spans="28:30" s="28" customFormat="1" x14ac:dyDescent="0.25">
      <c r="AB121" s="53"/>
      <c r="AC121" s="54"/>
      <c r="AD121" s="29"/>
    </row>
    <row r="122" spans="28:30" s="28" customFormat="1" x14ac:dyDescent="0.25">
      <c r="AB122" s="53"/>
      <c r="AC122" s="54"/>
      <c r="AD122" s="29"/>
    </row>
    <row r="123" spans="28:30" s="28" customFormat="1" x14ac:dyDescent="0.25">
      <c r="AB123" s="53"/>
      <c r="AC123" s="54"/>
      <c r="AD123" s="29"/>
    </row>
    <row r="124" spans="28:30" s="28" customFormat="1" x14ac:dyDescent="0.25">
      <c r="AB124" s="53"/>
      <c r="AC124" s="54"/>
      <c r="AD124" s="29"/>
    </row>
    <row r="125" spans="28:30" s="28" customFormat="1" x14ac:dyDescent="0.25">
      <c r="AB125" s="53"/>
      <c r="AC125" s="54"/>
      <c r="AD125" s="29"/>
    </row>
    <row r="126" spans="28:30" s="28" customFormat="1" x14ac:dyDescent="0.25">
      <c r="AB126" s="53"/>
      <c r="AC126" s="54"/>
      <c r="AD126" s="29"/>
    </row>
    <row r="127" spans="28:30" s="28" customFormat="1" x14ac:dyDescent="0.25">
      <c r="AB127" s="53"/>
      <c r="AC127" s="54"/>
      <c r="AD127" s="29"/>
    </row>
    <row r="128" spans="28:30" s="28" customFormat="1" x14ac:dyDescent="0.25">
      <c r="AB128" s="53"/>
      <c r="AC128" s="54"/>
      <c r="AD128" s="29"/>
    </row>
    <row r="129" spans="28:30" s="28" customFormat="1" x14ac:dyDescent="0.25">
      <c r="AB129" s="53"/>
      <c r="AC129" s="54"/>
      <c r="AD129" s="29"/>
    </row>
    <row r="130" spans="28:30" s="28" customFormat="1" x14ac:dyDescent="0.25">
      <c r="AB130" s="53"/>
      <c r="AC130" s="54"/>
      <c r="AD130" s="29"/>
    </row>
    <row r="131" spans="28:30" s="28" customFormat="1" x14ac:dyDescent="0.25">
      <c r="AB131" s="53"/>
      <c r="AC131" s="54"/>
      <c r="AD131" s="29"/>
    </row>
    <row r="132" spans="28:30" s="28" customFormat="1" x14ac:dyDescent="0.25">
      <c r="AB132" s="53"/>
      <c r="AC132" s="54"/>
      <c r="AD132" s="29"/>
    </row>
    <row r="133" spans="28:30" s="28" customFormat="1" x14ac:dyDescent="0.25">
      <c r="AB133" s="53"/>
      <c r="AC133" s="54"/>
      <c r="AD133" s="29"/>
    </row>
    <row r="134" spans="28:30" s="28" customFormat="1" x14ac:dyDescent="0.25">
      <c r="AB134" s="53"/>
      <c r="AC134" s="54"/>
      <c r="AD134" s="29"/>
    </row>
    <row r="135" spans="28:30" s="28" customFormat="1" x14ac:dyDescent="0.25">
      <c r="AB135" s="53"/>
      <c r="AC135" s="54"/>
      <c r="AD135" s="29"/>
    </row>
    <row r="136" spans="28:30" s="28" customFormat="1" x14ac:dyDescent="0.25">
      <c r="AB136" s="53"/>
      <c r="AC136" s="54"/>
      <c r="AD136" s="29"/>
    </row>
    <row r="137" spans="28:30" s="28" customFormat="1" x14ac:dyDescent="0.25">
      <c r="AB137" s="53"/>
      <c r="AC137" s="54"/>
      <c r="AD137" s="29"/>
    </row>
    <row r="138" spans="28:30" s="28" customFormat="1" x14ac:dyDescent="0.25">
      <c r="AB138" s="53"/>
      <c r="AC138" s="54"/>
      <c r="AD138" s="29"/>
    </row>
    <row r="139" spans="28:30" s="28" customFormat="1" x14ac:dyDescent="0.25">
      <c r="AB139" s="53"/>
      <c r="AC139" s="54"/>
      <c r="AD139" s="29"/>
    </row>
    <row r="140" spans="28:30" s="28" customFormat="1" x14ac:dyDescent="0.25">
      <c r="AB140" s="53"/>
      <c r="AC140" s="54"/>
      <c r="AD140" s="29"/>
    </row>
    <row r="141" spans="28:30" s="28" customFormat="1" x14ac:dyDescent="0.25">
      <c r="AB141" s="53"/>
      <c r="AC141" s="54"/>
      <c r="AD141" s="29"/>
    </row>
    <row r="142" spans="28:30" s="28" customFormat="1" x14ac:dyDescent="0.25">
      <c r="AB142" s="53"/>
      <c r="AC142" s="54"/>
      <c r="AD142" s="29"/>
    </row>
    <row r="143" spans="28:30" s="28" customFormat="1" x14ac:dyDescent="0.25">
      <c r="AB143" s="53"/>
      <c r="AC143" s="54"/>
      <c r="AD143" s="29"/>
    </row>
    <row r="144" spans="28:30" s="28" customFormat="1" x14ac:dyDescent="0.25">
      <c r="AB144" s="53"/>
      <c r="AC144" s="54"/>
      <c r="AD144" s="29"/>
    </row>
    <row r="145" spans="28:30" s="28" customFormat="1" x14ac:dyDescent="0.25">
      <c r="AB145" s="53"/>
      <c r="AC145" s="54"/>
      <c r="AD145" s="29"/>
    </row>
    <row r="146" spans="28:30" s="28" customFormat="1" x14ac:dyDescent="0.25">
      <c r="AB146" s="53"/>
      <c r="AC146" s="54"/>
      <c r="AD146" s="29"/>
    </row>
    <row r="147" spans="28:30" s="28" customFormat="1" x14ac:dyDescent="0.25">
      <c r="AB147" s="53"/>
      <c r="AC147" s="54"/>
      <c r="AD147" s="29"/>
    </row>
    <row r="148" spans="28:30" s="28" customFormat="1" x14ac:dyDescent="0.25">
      <c r="AB148" s="53"/>
      <c r="AC148" s="54"/>
      <c r="AD148" s="29"/>
    </row>
    <row r="149" spans="28:30" s="28" customFormat="1" x14ac:dyDescent="0.25">
      <c r="AB149" s="53"/>
      <c r="AC149" s="54"/>
      <c r="AD149" s="29"/>
    </row>
    <row r="150" spans="28:30" s="28" customFormat="1" x14ac:dyDescent="0.25">
      <c r="AB150" s="53"/>
      <c r="AC150" s="54"/>
      <c r="AD150" s="29"/>
    </row>
    <row r="151" spans="28:30" s="28" customFormat="1" x14ac:dyDescent="0.25">
      <c r="AB151" s="53"/>
      <c r="AC151" s="54"/>
      <c r="AD151" s="29"/>
    </row>
    <row r="152" spans="28:30" s="28" customFormat="1" x14ac:dyDescent="0.25">
      <c r="AB152" s="53"/>
      <c r="AC152" s="54"/>
      <c r="AD152" s="29"/>
    </row>
    <row r="153" spans="28:30" s="28" customFormat="1" x14ac:dyDescent="0.25">
      <c r="AB153" s="53"/>
      <c r="AC153" s="54"/>
      <c r="AD153" s="29"/>
    </row>
    <row r="154" spans="28:30" s="28" customFormat="1" x14ac:dyDescent="0.25">
      <c r="AB154" s="53"/>
      <c r="AC154" s="54"/>
      <c r="AD154" s="29"/>
    </row>
    <row r="155" spans="28:30" s="28" customFormat="1" x14ac:dyDescent="0.25">
      <c r="AB155" s="53"/>
      <c r="AC155" s="54"/>
      <c r="AD155" s="29"/>
    </row>
    <row r="156" spans="28:30" s="28" customFormat="1" x14ac:dyDescent="0.25">
      <c r="AB156" s="53"/>
      <c r="AC156" s="54"/>
      <c r="AD156" s="29"/>
    </row>
    <row r="157" spans="28:30" s="28" customFormat="1" x14ac:dyDescent="0.25">
      <c r="AB157" s="53"/>
      <c r="AC157" s="54"/>
      <c r="AD157" s="29"/>
    </row>
    <row r="158" spans="28:30" s="28" customFormat="1" x14ac:dyDescent="0.25">
      <c r="AB158" s="53"/>
      <c r="AC158" s="54"/>
      <c r="AD158" s="29"/>
    </row>
    <row r="159" spans="28:30" s="28" customFormat="1" x14ac:dyDescent="0.25">
      <c r="AB159" s="53"/>
      <c r="AC159" s="54"/>
      <c r="AD159" s="29"/>
    </row>
    <row r="160" spans="28:30" s="28" customFormat="1" x14ac:dyDescent="0.25">
      <c r="AB160" s="53"/>
      <c r="AC160" s="54"/>
      <c r="AD160" s="29"/>
    </row>
    <row r="161" spans="28:30" s="28" customFormat="1" x14ac:dyDescent="0.25">
      <c r="AB161" s="53"/>
      <c r="AC161" s="54"/>
      <c r="AD161" s="29"/>
    </row>
    <row r="162" spans="28:30" s="28" customFormat="1" x14ac:dyDescent="0.25">
      <c r="AB162" s="53"/>
      <c r="AC162" s="54"/>
      <c r="AD162" s="29"/>
    </row>
    <row r="163" spans="28:30" s="28" customFormat="1" x14ac:dyDescent="0.25">
      <c r="AB163" s="53"/>
      <c r="AC163" s="54"/>
      <c r="AD163" s="29"/>
    </row>
    <row r="164" spans="28:30" s="28" customFormat="1" x14ac:dyDescent="0.25">
      <c r="AB164" s="53"/>
      <c r="AC164" s="54"/>
      <c r="AD164" s="29"/>
    </row>
    <row r="165" spans="28:30" s="28" customFormat="1" x14ac:dyDescent="0.25">
      <c r="AB165" s="53"/>
      <c r="AC165" s="54"/>
      <c r="AD165" s="29"/>
    </row>
    <row r="166" spans="28:30" s="28" customFormat="1" x14ac:dyDescent="0.25">
      <c r="AB166" s="53"/>
      <c r="AC166" s="54"/>
      <c r="AD166" s="29"/>
    </row>
    <row r="167" spans="28:30" s="28" customFormat="1" x14ac:dyDescent="0.25">
      <c r="AB167" s="53"/>
      <c r="AC167" s="54"/>
      <c r="AD167" s="29"/>
    </row>
    <row r="168" spans="28:30" s="28" customFormat="1" x14ac:dyDescent="0.25">
      <c r="AB168" s="53"/>
      <c r="AC168" s="54"/>
      <c r="AD168" s="29"/>
    </row>
    <row r="169" spans="28:30" s="28" customFormat="1" x14ac:dyDescent="0.25">
      <c r="AB169" s="53"/>
      <c r="AC169" s="54"/>
      <c r="AD169" s="29"/>
    </row>
    <row r="170" spans="28:30" s="28" customFormat="1" x14ac:dyDescent="0.25">
      <c r="AB170" s="53"/>
      <c r="AC170" s="54"/>
      <c r="AD170" s="29"/>
    </row>
    <row r="171" spans="28:30" s="28" customFormat="1" x14ac:dyDescent="0.25">
      <c r="AB171" s="53"/>
      <c r="AC171" s="54"/>
      <c r="AD171" s="29"/>
    </row>
    <row r="172" spans="28:30" s="28" customFormat="1" x14ac:dyDescent="0.25">
      <c r="AB172" s="53"/>
      <c r="AC172" s="54"/>
      <c r="AD172" s="29"/>
    </row>
    <row r="173" spans="28:30" s="28" customFormat="1" x14ac:dyDescent="0.25">
      <c r="AB173" s="53"/>
      <c r="AC173" s="54"/>
      <c r="AD173" s="29"/>
    </row>
    <row r="174" spans="28:30" s="28" customFormat="1" x14ac:dyDescent="0.25">
      <c r="AB174" s="53"/>
      <c r="AC174" s="54"/>
      <c r="AD174" s="29"/>
    </row>
    <row r="175" spans="28:30" s="28" customFormat="1" x14ac:dyDescent="0.25">
      <c r="AB175" s="53"/>
      <c r="AC175" s="54"/>
      <c r="AD175" s="29"/>
    </row>
    <row r="176" spans="28:30" s="28" customFormat="1" x14ac:dyDescent="0.25">
      <c r="AB176" s="53"/>
      <c r="AC176" s="54"/>
      <c r="AD176" s="29"/>
    </row>
    <row r="177" spans="28:30" s="28" customFormat="1" x14ac:dyDescent="0.25">
      <c r="AB177" s="53"/>
      <c r="AC177" s="54"/>
      <c r="AD177" s="29"/>
    </row>
    <row r="178" spans="28:30" s="28" customFormat="1" x14ac:dyDescent="0.25">
      <c r="AB178" s="53"/>
      <c r="AC178" s="54"/>
      <c r="AD178" s="29"/>
    </row>
    <row r="179" spans="28:30" s="28" customFormat="1" x14ac:dyDescent="0.25">
      <c r="AB179" s="53"/>
      <c r="AC179" s="54"/>
      <c r="AD179" s="29"/>
    </row>
    <row r="180" spans="28:30" s="28" customFormat="1" x14ac:dyDescent="0.25">
      <c r="AB180" s="53"/>
      <c r="AC180" s="54"/>
      <c r="AD180" s="29"/>
    </row>
    <row r="181" spans="28:30" s="28" customFormat="1" x14ac:dyDescent="0.25">
      <c r="AB181" s="53"/>
      <c r="AC181" s="54"/>
      <c r="AD181" s="29"/>
    </row>
    <row r="182" spans="28:30" s="28" customFormat="1" x14ac:dyDescent="0.25">
      <c r="AB182" s="53"/>
      <c r="AC182" s="54"/>
      <c r="AD182" s="29"/>
    </row>
    <row r="183" spans="28:30" s="28" customFormat="1" x14ac:dyDescent="0.25">
      <c r="AB183" s="53"/>
      <c r="AC183" s="54"/>
      <c r="AD183" s="29"/>
    </row>
    <row r="184" spans="28:30" s="28" customFormat="1" x14ac:dyDescent="0.25">
      <c r="AB184" s="53"/>
      <c r="AC184" s="54"/>
      <c r="AD184" s="29"/>
    </row>
    <row r="185" spans="28:30" s="28" customFormat="1" x14ac:dyDescent="0.25">
      <c r="AB185" s="53"/>
      <c r="AC185" s="54"/>
      <c r="AD185" s="29"/>
    </row>
    <row r="186" spans="28:30" s="28" customFormat="1" x14ac:dyDescent="0.25">
      <c r="AB186" s="53"/>
      <c r="AC186" s="54"/>
      <c r="AD186" s="29"/>
    </row>
    <row r="187" spans="28:30" s="28" customFormat="1" x14ac:dyDescent="0.25">
      <c r="AB187" s="53"/>
      <c r="AC187" s="54"/>
      <c r="AD187" s="29"/>
    </row>
    <row r="188" spans="28:30" s="28" customFormat="1" x14ac:dyDescent="0.25">
      <c r="AB188" s="53"/>
      <c r="AC188" s="54"/>
      <c r="AD188" s="29"/>
    </row>
    <row r="189" spans="28:30" s="28" customFormat="1" x14ac:dyDescent="0.25">
      <c r="AB189" s="53"/>
      <c r="AC189" s="54"/>
      <c r="AD189" s="29"/>
    </row>
    <row r="190" spans="28:30" s="28" customFormat="1" x14ac:dyDescent="0.25">
      <c r="AB190" s="53"/>
      <c r="AC190" s="54"/>
      <c r="AD190" s="29"/>
    </row>
    <row r="191" spans="28:30" s="28" customFormat="1" x14ac:dyDescent="0.25">
      <c r="AB191" s="53"/>
      <c r="AC191" s="54"/>
      <c r="AD191" s="29"/>
    </row>
    <row r="192" spans="28:30" s="28" customFormat="1" x14ac:dyDescent="0.25">
      <c r="AB192" s="53"/>
      <c r="AC192" s="54"/>
      <c r="AD192" s="29"/>
    </row>
    <row r="193" spans="28:30" s="28" customFormat="1" x14ac:dyDescent="0.25">
      <c r="AB193" s="53"/>
      <c r="AC193" s="54"/>
      <c r="AD193" s="29"/>
    </row>
    <row r="194" spans="28:30" s="28" customFormat="1" x14ac:dyDescent="0.25">
      <c r="AB194" s="53"/>
      <c r="AC194" s="54"/>
      <c r="AD194" s="29"/>
    </row>
    <row r="195" spans="28:30" s="28" customFormat="1" x14ac:dyDescent="0.25">
      <c r="AB195" s="53"/>
      <c r="AC195" s="54"/>
      <c r="AD195" s="29"/>
    </row>
    <row r="196" spans="28:30" s="28" customFormat="1" x14ac:dyDescent="0.25">
      <c r="AB196" s="53"/>
      <c r="AC196" s="54"/>
      <c r="AD196" s="29"/>
    </row>
    <row r="197" spans="28:30" s="28" customFormat="1" x14ac:dyDescent="0.25">
      <c r="AB197" s="53"/>
      <c r="AC197" s="54"/>
      <c r="AD197" s="29"/>
    </row>
    <row r="198" spans="28:30" s="28" customFormat="1" x14ac:dyDescent="0.25">
      <c r="AB198" s="53"/>
      <c r="AC198" s="54"/>
      <c r="AD198" s="29"/>
    </row>
    <row r="199" spans="28:30" s="28" customFormat="1" x14ac:dyDescent="0.25">
      <c r="AB199" s="53"/>
      <c r="AC199" s="54"/>
      <c r="AD199" s="29"/>
    </row>
    <row r="200" spans="28:30" s="28" customFormat="1" x14ac:dyDescent="0.25">
      <c r="AB200" s="53"/>
      <c r="AC200" s="54"/>
      <c r="AD200" s="29"/>
    </row>
    <row r="201" spans="28:30" s="28" customFormat="1" x14ac:dyDescent="0.25">
      <c r="AB201" s="53"/>
      <c r="AC201" s="54"/>
      <c r="AD201" s="29"/>
    </row>
    <row r="202" spans="28:30" s="28" customFormat="1" x14ac:dyDescent="0.25">
      <c r="AB202" s="53"/>
      <c r="AC202" s="54"/>
      <c r="AD202" s="29"/>
    </row>
    <row r="203" spans="28:30" s="28" customFormat="1" x14ac:dyDescent="0.25">
      <c r="AB203" s="53"/>
      <c r="AC203" s="54"/>
      <c r="AD203" s="29"/>
    </row>
    <row r="204" spans="28:30" s="28" customFormat="1" x14ac:dyDescent="0.25">
      <c r="AB204" s="53"/>
      <c r="AC204" s="54"/>
      <c r="AD204" s="29"/>
    </row>
    <row r="205" spans="28:30" s="28" customFormat="1" x14ac:dyDescent="0.25">
      <c r="AB205" s="53"/>
      <c r="AC205" s="54"/>
      <c r="AD205" s="29"/>
    </row>
    <row r="206" spans="28:30" s="28" customFormat="1" x14ac:dyDescent="0.25">
      <c r="AB206" s="53"/>
      <c r="AC206" s="54"/>
      <c r="AD206" s="29"/>
    </row>
    <row r="207" spans="28:30" s="28" customFormat="1" x14ac:dyDescent="0.25">
      <c r="AB207" s="53"/>
      <c r="AC207" s="54"/>
      <c r="AD207" s="29"/>
    </row>
    <row r="208" spans="28:30" s="28" customFormat="1" x14ac:dyDescent="0.25">
      <c r="AB208" s="53"/>
      <c r="AC208" s="54"/>
      <c r="AD208" s="29"/>
    </row>
  </sheetData>
  <mergeCells count="35">
    <mergeCell ref="J15:J17"/>
    <mergeCell ref="E15:E17"/>
    <mergeCell ref="C14:H14"/>
    <mergeCell ref="H15:H17"/>
    <mergeCell ref="G16:G17"/>
    <mergeCell ref="F16:F17"/>
    <mergeCell ref="L8:N8"/>
    <mergeCell ref="C20:C59"/>
    <mergeCell ref="J14:M14"/>
    <mergeCell ref="F15:G15"/>
    <mergeCell ref="B9:AA9"/>
    <mergeCell ref="Y20:Y59"/>
    <mergeCell ref="V20:V59"/>
    <mergeCell ref="W20:W59"/>
    <mergeCell ref="X20:X59"/>
    <mergeCell ref="B10:AA10"/>
    <mergeCell ref="B11:AA11"/>
    <mergeCell ref="D15:D17"/>
    <mergeCell ref="C15:C17"/>
    <mergeCell ref="B14:B17"/>
    <mergeCell ref="AA14:AA17"/>
    <mergeCell ref="I14:I17"/>
    <mergeCell ref="Z14:Z17"/>
    <mergeCell ref="N15:O16"/>
    <mergeCell ref="M15:M17"/>
    <mergeCell ref="L15:L17"/>
    <mergeCell ref="K15:K17"/>
    <mergeCell ref="R15:S16"/>
    <mergeCell ref="T15:U16"/>
    <mergeCell ref="V15:W16"/>
    <mergeCell ref="X15:Y16"/>
    <mergeCell ref="N14:Q14"/>
    <mergeCell ref="R14:Y14"/>
    <mergeCell ref="P15:P17"/>
    <mergeCell ref="Q15:Q17"/>
  </mergeCells>
  <pageMargins left="0.15748031496062992" right="0.15748031496062992" top="0.23622047244094491" bottom="0.15748031496062992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69"/>
  <sheetViews>
    <sheetView zoomScale="73" zoomScaleNormal="73" workbookViewId="0">
      <selection activeCell="L25" sqref="L25"/>
    </sheetView>
  </sheetViews>
  <sheetFormatPr defaultRowHeight="15.75" x14ac:dyDescent="0.25"/>
  <cols>
    <col min="1" max="1" width="9.140625" style="1"/>
    <col min="2" max="2" width="6" style="1" customWidth="1"/>
    <col min="3" max="3" width="18.140625" style="1" customWidth="1"/>
    <col min="4" max="4" width="44.140625" style="1" customWidth="1"/>
    <col min="5" max="9" width="9.140625" style="1"/>
    <col min="10" max="10" width="13.28515625" style="1" customWidth="1"/>
    <col min="11" max="11" width="13.85546875" style="1" customWidth="1"/>
    <col min="12" max="12" width="14.85546875" style="1" customWidth="1"/>
    <col min="13" max="13" width="13.7109375" style="1" customWidth="1"/>
    <col min="14" max="15" width="12.140625" style="1" customWidth="1"/>
    <col min="16" max="17" width="9.140625" style="1"/>
    <col min="18" max="25" width="9.140625" style="1" customWidth="1"/>
    <col min="26" max="26" width="12.85546875" style="1" customWidth="1"/>
    <col min="27" max="27" width="28.7109375" style="1" customWidth="1"/>
    <col min="28" max="28" width="17.5703125" style="1" customWidth="1"/>
    <col min="29" max="30" width="10" style="4" bestFit="1" customWidth="1"/>
    <col min="31" max="16384" width="9.140625" style="1"/>
  </cols>
  <sheetData>
    <row r="1" spans="2:27" x14ac:dyDescent="0.25">
      <c r="Z1" s="2"/>
      <c r="AA1" s="3" t="s">
        <v>25</v>
      </c>
    </row>
    <row r="2" spans="2:27" x14ac:dyDescent="0.25">
      <c r="AA2" s="5" t="s">
        <v>26</v>
      </c>
    </row>
    <row r="3" spans="2:27" x14ac:dyDescent="0.25">
      <c r="AA3" s="7" t="s">
        <v>27</v>
      </c>
    </row>
    <row r="4" spans="2:27" x14ac:dyDescent="0.25">
      <c r="AA4" s="3" t="s">
        <v>28</v>
      </c>
    </row>
    <row r="6" spans="2:27" x14ac:dyDescent="0.25">
      <c r="AA6" s="3" t="s">
        <v>29</v>
      </c>
    </row>
    <row r="7" spans="2:27" x14ac:dyDescent="0.25">
      <c r="AA7" s="3"/>
    </row>
    <row r="8" spans="2:27" x14ac:dyDescent="0.25">
      <c r="K8" s="136" t="s">
        <v>30</v>
      </c>
      <c r="L8" s="136"/>
      <c r="M8" s="136"/>
      <c r="N8" s="136"/>
      <c r="AA8" s="3"/>
    </row>
    <row r="9" spans="2:27" x14ac:dyDescent="0.25">
      <c r="B9" s="136" t="s">
        <v>74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</row>
    <row r="10" spans="2:27" x14ac:dyDescent="0.25">
      <c r="B10" s="143" t="s">
        <v>39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</row>
    <row r="11" spans="2:27" x14ac:dyDescent="0.25">
      <c r="B11" s="136" t="s">
        <v>31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</row>
    <row r="12" spans="2:27" x14ac:dyDescent="0.25">
      <c r="AA12" s="3"/>
    </row>
    <row r="13" spans="2:27" ht="16.5" thickBot="1" x14ac:dyDescent="0.3">
      <c r="J13" s="8">
        <v>12185.44</v>
      </c>
      <c r="K13" s="9">
        <f>J13-J19</f>
        <v>0</v>
      </c>
    </row>
    <row r="14" spans="2:27" ht="75.75" customHeight="1" thickBot="1" x14ac:dyDescent="0.3">
      <c r="B14" s="129" t="s">
        <v>0</v>
      </c>
      <c r="C14" s="133" t="s">
        <v>1</v>
      </c>
      <c r="D14" s="134"/>
      <c r="E14" s="134"/>
      <c r="F14" s="134"/>
      <c r="G14" s="134"/>
      <c r="H14" s="135"/>
      <c r="I14" s="126" t="s">
        <v>2</v>
      </c>
      <c r="J14" s="134" t="s">
        <v>3</v>
      </c>
      <c r="K14" s="134"/>
      <c r="L14" s="134"/>
      <c r="M14" s="135"/>
      <c r="N14" s="133" t="s">
        <v>12</v>
      </c>
      <c r="O14" s="134"/>
      <c r="P14" s="134"/>
      <c r="Q14" s="135"/>
      <c r="R14" s="133" t="s">
        <v>13</v>
      </c>
      <c r="S14" s="134"/>
      <c r="T14" s="134"/>
      <c r="U14" s="134"/>
      <c r="V14" s="134"/>
      <c r="W14" s="134"/>
      <c r="X14" s="134"/>
      <c r="Y14" s="135"/>
      <c r="Z14" s="126" t="s">
        <v>14</v>
      </c>
      <c r="AA14" s="126" t="s">
        <v>15</v>
      </c>
    </row>
    <row r="15" spans="2:27" ht="99" customHeight="1" thickBot="1" x14ac:dyDescent="0.3">
      <c r="B15" s="145"/>
      <c r="C15" s="126" t="s">
        <v>4</v>
      </c>
      <c r="D15" s="126" t="s">
        <v>5</v>
      </c>
      <c r="E15" s="126" t="s">
        <v>6</v>
      </c>
      <c r="F15" s="133" t="s">
        <v>7</v>
      </c>
      <c r="G15" s="135"/>
      <c r="H15" s="126" t="s">
        <v>8</v>
      </c>
      <c r="I15" s="127"/>
      <c r="J15" s="130" t="s">
        <v>93</v>
      </c>
      <c r="K15" s="126" t="s">
        <v>94</v>
      </c>
      <c r="L15" s="126" t="s">
        <v>95</v>
      </c>
      <c r="M15" s="126" t="s">
        <v>9</v>
      </c>
      <c r="N15" s="129" t="s">
        <v>16</v>
      </c>
      <c r="O15" s="130"/>
      <c r="P15" s="126" t="s">
        <v>17</v>
      </c>
      <c r="Q15" s="126" t="s">
        <v>18</v>
      </c>
      <c r="R15" s="129" t="s">
        <v>19</v>
      </c>
      <c r="S15" s="130"/>
      <c r="T15" s="129" t="s">
        <v>20</v>
      </c>
      <c r="U15" s="130"/>
      <c r="V15" s="129" t="s">
        <v>21</v>
      </c>
      <c r="W15" s="130"/>
      <c r="X15" s="129" t="s">
        <v>22</v>
      </c>
      <c r="Y15" s="130"/>
      <c r="Z15" s="127"/>
      <c r="AA15" s="127"/>
    </row>
    <row r="16" spans="2:27" ht="76.5" customHeight="1" thickBot="1" x14ac:dyDescent="0.3">
      <c r="B16" s="145"/>
      <c r="C16" s="127"/>
      <c r="D16" s="127"/>
      <c r="E16" s="127"/>
      <c r="F16" s="126" t="s">
        <v>10</v>
      </c>
      <c r="G16" s="126" t="s">
        <v>11</v>
      </c>
      <c r="H16" s="127"/>
      <c r="I16" s="127"/>
      <c r="J16" s="146"/>
      <c r="K16" s="127"/>
      <c r="L16" s="127"/>
      <c r="M16" s="127"/>
      <c r="N16" s="131"/>
      <c r="O16" s="132"/>
      <c r="P16" s="127"/>
      <c r="Q16" s="127"/>
      <c r="R16" s="131"/>
      <c r="S16" s="132"/>
      <c r="T16" s="131"/>
      <c r="U16" s="132"/>
      <c r="V16" s="131"/>
      <c r="W16" s="132"/>
      <c r="X16" s="131"/>
      <c r="Y16" s="132"/>
      <c r="Z16" s="127"/>
      <c r="AA16" s="127"/>
    </row>
    <row r="17" spans="2:31" ht="63.75" thickBot="1" x14ac:dyDescent="0.3">
      <c r="B17" s="131"/>
      <c r="C17" s="128"/>
      <c r="D17" s="128"/>
      <c r="E17" s="128"/>
      <c r="F17" s="128"/>
      <c r="G17" s="128"/>
      <c r="H17" s="128"/>
      <c r="I17" s="128"/>
      <c r="J17" s="132"/>
      <c r="K17" s="128"/>
      <c r="L17" s="128"/>
      <c r="M17" s="128"/>
      <c r="N17" s="10" t="s">
        <v>96</v>
      </c>
      <c r="O17" s="10" t="s">
        <v>97</v>
      </c>
      <c r="P17" s="128"/>
      <c r="Q17" s="128"/>
      <c r="R17" s="10" t="s">
        <v>23</v>
      </c>
      <c r="S17" s="11" t="s">
        <v>24</v>
      </c>
      <c r="T17" s="11" t="s">
        <v>23</v>
      </c>
      <c r="U17" s="11" t="s">
        <v>24</v>
      </c>
      <c r="V17" s="11" t="s">
        <v>10</v>
      </c>
      <c r="W17" s="11" t="s">
        <v>11</v>
      </c>
      <c r="X17" s="11" t="s">
        <v>23</v>
      </c>
      <c r="Y17" s="11" t="s">
        <v>24</v>
      </c>
      <c r="Z17" s="128"/>
      <c r="AA17" s="128"/>
    </row>
    <row r="18" spans="2:31" ht="16.5" thickBot="1" x14ac:dyDescent="0.3">
      <c r="B18" s="12">
        <v>1</v>
      </c>
      <c r="C18" s="15">
        <v>2</v>
      </c>
      <c r="D18" s="14">
        <v>3</v>
      </c>
      <c r="E18" s="14">
        <v>4</v>
      </c>
      <c r="F18" s="14">
        <v>5</v>
      </c>
      <c r="G18" s="14">
        <v>6</v>
      </c>
      <c r="H18" s="14">
        <v>7</v>
      </c>
      <c r="I18" s="15">
        <v>8</v>
      </c>
      <c r="J18" s="14">
        <v>9</v>
      </c>
      <c r="K18" s="14">
        <v>10</v>
      </c>
      <c r="L18" s="14">
        <v>11</v>
      </c>
      <c r="M18" s="14">
        <v>12</v>
      </c>
      <c r="N18" s="15">
        <v>13</v>
      </c>
      <c r="O18" s="14">
        <v>14</v>
      </c>
      <c r="P18" s="14">
        <v>15</v>
      </c>
      <c r="Q18" s="14">
        <v>16</v>
      </c>
      <c r="R18" s="15">
        <v>17</v>
      </c>
      <c r="S18" s="14">
        <v>18</v>
      </c>
      <c r="T18" s="14">
        <v>19</v>
      </c>
      <c r="U18" s="14">
        <v>20</v>
      </c>
      <c r="V18" s="14">
        <v>21</v>
      </c>
      <c r="W18" s="14">
        <v>22</v>
      </c>
      <c r="X18" s="14">
        <v>23</v>
      </c>
      <c r="Y18" s="14">
        <v>24</v>
      </c>
      <c r="Z18" s="15">
        <v>25</v>
      </c>
      <c r="AA18" s="15">
        <v>26</v>
      </c>
    </row>
    <row r="19" spans="2:31" s="28" customFormat="1" ht="15" customHeight="1" x14ac:dyDescent="0.25">
      <c r="B19" s="147">
        <v>1</v>
      </c>
      <c r="C19" s="150" t="s">
        <v>68</v>
      </c>
      <c r="D19" s="71" t="s">
        <v>33</v>
      </c>
      <c r="E19" s="72"/>
      <c r="F19" s="72"/>
      <c r="G19" s="72"/>
      <c r="H19" s="21"/>
      <c r="I19" s="16"/>
      <c r="J19" s="23">
        <f>SUM(J20:J20)</f>
        <v>12185.439999999999</v>
      </c>
      <c r="K19" s="24">
        <f>SUM(K20:K20)</f>
        <v>0</v>
      </c>
      <c r="L19" s="25">
        <f>SUM(L20:L20)</f>
        <v>12185.439999999999</v>
      </c>
      <c r="M19" s="21"/>
      <c r="N19" s="26">
        <f>SUM(N20:N20)</f>
        <v>7675.37</v>
      </c>
      <c r="O19" s="25">
        <f>SUM(O20:O20)</f>
        <v>4510.07</v>
      </c>
      <c r="P19" s="24">
        <f>SUM(P20:P20)</f>
        <v>0</v>
      </c>
      <c r="Q19" s="24">
        <f>SUM(Q20:Q20)</f>
        <v>0</v>
      </c>
      <c r="R19" s="150" t="s">
        <v>47</v>
      </c>
      <c r="S19" s="149" t="s">
        <v>47</v>
      </c>
      <c r="T19" s="150" t="s">
        <v>47</v>
      </c>
      <c r="U19" s="149" t="s">
        <v>47</v>
      </c>
      <c r="V19" s="150">
        <v>14.58</v>
      </c>
      <c r="W19" s="149">
        <v>14.58</v>
      </c>
      <c r="X19" s="150">
        <v>5</v>
      </c>
      <c r="Y19" s="149">
        <v>3</v>
      </c>
      <c r="Z19" s="22"/>
      <c r="AA19" s="16"/>
      <c r="AC19" s="29"/>
      <c r="AD19" s="29"/>
    </row>
    <row r="20" spans="2:31" s="42" customFormat="1" ht="95.25" thickBot="1" x14ac:dyDescent="0.3">
      <c r="B20" s="148"/>
      <c r="C20" s="138"/>
      <c r="D20" s="84" t="s">
        <v>135</v>
      </c>
      <c r="E20" s="84" t="s">
        <v>34</v>
      </c>
      <c r="F20" s="84">
        <v>1</v>
      </c>
      <c r="G20" s="84">
        <v>0</v>
      </c>
      <c r="H20" s="85">
        <v>2022</v>
      </c>
      <c r="I20" s="86"/>
      <c r="J20" s="87">
        <f>N20+O20</f>
        <v>12185.439999999999</v>
      </c>
      <c r="K20" s="82">
        <v>0</v>
      </c>
      <c r="L20" s="82">
        <f>J20-K20</f>
        <v>12185.439999999999</v>
      </c>
      <c r="M20" s="62" t="str">
        <f>Z20</f>
        <v>Ведутся процедуры по закупке товаров, работ и услуг</v>
      </c>
      <c r="N20" s="88">
        <v>7675.37</v>
      </c>
      <c r="O20" s="82">
        <v>4510.07</v>
      </c>
      <c r="P20" s="82">
        <v>0</v>
      </c>
      <c r="Q20" s="89">
        <v>0</v>
      </c>
      <c r="R20" s="138"/>
      <c r="S20" s="140"/>
      <c r="T20" s="138"/>
      <c r="U20" s="140"/>
      <c r="V20" s="138"/>
      <c r="W20" s="140"/>
      <c r="X20" s="138"/>
      <c r="Y20" s="140"/>
      <c r="Z20" s="90" t="s">
        <v>64</v>
      </c>
      <c r="AA20" s="86" t="s">
        <v>65</v>
      </c>
      <c r="AB20" s="40"/>
      <c r="AC20" s="41"/>
      <c r="AD20" s="41"/>
      <c r="AE20" s="40"/>
    </row>
    <row r="21" spans="2:31" s="28" customFormat="1" x14ac:dyDescent="0.25">
      <c r="AC21" s="29"/>
      <c r="AD21" s="29"/>
    </row>
    <row r="22" spans="2:31" s="28" customFormat="1" x14ac:dyDescent="0.25">
      <c r="AC22" s="29"/>
      <c r="AD22" s="29"/>
    </row>
    <row r="23" spans="2:31" s="28" customFormat="1" x14ac:dyDescent="0.25">
      <c r="AC23" s="29"/>
      <c r="AD23" s="29"/>
    </row>
    <row r="24" spans="2:31" s="28" customFormat="1" x14ac:dyDescent="0.25">
      <c r="M24" s="91"/>
      <c r="AC24" s="29"/>
      <c r="AD24" s="29"/>
    </row>
    <row r="25" spans="2:31" s="28" customFormat="1" x14ac:dyDescent="0.25">
      <c r="AC25" s="29"/>
      <c r="AD25" s="29"/>
    </row>
    <row r="26" spans="2:31" s="28" customFormat="1" x14ac:dyDescent="0.25">
      <c r="L26" s="91"/>
      <c r="AC26" s="29"/>
      <c r="AD26" s="29"/>
    </row>
    <row r="27" spans="2:31" s="28" customFormat="1" x14ac:dyDescent="0.25">
      <c r="AC27" s="29"/>
      <c r="AD27" s="29"/>
    </row>
    <row r="28" spans="2:31" s="28" customFormat="1" x14ac:dyDescent="0.25">
      <c r="AC28" s="29"/>
      <c r="AD28" s="29"/>
    </row>
    <row r="29" spans="2:31" s="28" customFormat="1" x14ac:dyDescent="0.25">
      <c r="AC29" s="29"/>
      <c r="AD29" s="29"/>
    </row>
    <row r="30" spans="2:31" s="28" customFormat="1" x14ac:dyDescent="0.25">
      <c r="AC30" s="29"/>
      <c r="AD30" s="29"/>
    </row>
    <row r="31" spans="2:31" s="28" customFormat="1" x14ac:dyDescent="0.25">
      <c r="AC31" s="29"/>
      <c r="AD31" s="29"/>
    </row>
    <row r="32" spans="2:31" s="28" customFormat="1" x14ac:dyDescent="0.25">
      <c r="AC32" s="29"/>
      <c r="AD32" s="29"/>
    </row>
    <row r="33" spans="29:30" s="28" customFormat="1" x14ac:dyDescent="0.25">
      <c r="AC33" s="29"/>
      <c r="AD33" s="29"/>
    </row>
    <row r="34" spans="29:30" s="28" customFormat="1" x14ac:dyDescent="0.25">
      <c r="AC34" s="29"/>
      <c r="AD34" s="29"/>
    </row>
    <row r="35" spans="29:30" s="28" customFormat="1" x14ac:dyDescent="0.25">
      <c r="AC35" s="29"/>
      <c r="AD35" s="29"/>
    </row>
    <row r="36" spans="29:30" s="28" customFormat="1" x14ac:dyDescent="0.25">
      <c r="AC36" s="29"/>
      <c r="AD36" s="29"/>
    </row>
    <row r="37" spans="29:30" s="28" customFormat="1" x14ac:dyDescent="0.25">
      <c r="AC37" s="29"/>
      <c r="AD37" s="29"/>
    </row>
    <row r="38" spans="29:30" s="28" customFormat="1" x14ac:dyDescent="0.25">
      <c r="AC38" s="29"/>
      <c r="AD38" s="29"/>
    </row>
    <row r="39" spans="29:30" s="28" customFormat="1" x14ac:dyDescent="0.25">
      <c r="AC39" s="29"/>
      <c r="AD39" s="29"/>
    </row>
    <row r="40" spans="29:30" s="28" customFormat="1" x14ac:dyDescent="0.25">
      <c r="AC40" s="29"/>
      <c r="AD40" s="29"/>
    </row>
    <row r="41" spans="29:30" s="28" customFormat="1" x14ac:dyDescent="0.25">
      <c r="AC41" s="29"/>
      <c r="AD41" s="29"/>
    </row>
    <row r="42" spans="29:30" s="28" customFormat="1" x14ac:dyDescent="0.25">
      <c r="AC42" s="29"/>
      <c r="AD42" s="29"/>
    </row>
    <row r="43" spans="29:30" s="28" customFormat="1" x14ac:dyDescent="0.25">
      <c r="AC43" s="29"/>
      <c r="AD43" s="29"/>
    </row>
    <row r="44" spans="29:30" s="28" customFormat="1" x14ac:dyDescent="0.25">
      <c r="AC44" s="29"/>
      <c r="AD44" s="29"/>
    </row>
    <row r="45" spans="29:30" s="28" customFormat="1" x14ac:dyDescent="0.25">
      <c r="AC45" s="29"/>
      <c r="AD45" s="29"/>
    </row>
    <row r="46" spans="29:30" s="28" customFormat="1" x14ac:dyDescent="0.25">
      <c r="AC46" s="29"/>
      <c r="AD46" s="29"/>
    </row>
    <row r="47" spans="29:30" s="28" customFormat="1" x14ac:dyDescent="0.25">
      <c r="AC47" s="29"/>
      <c r="AD47" s="29"/>
    </row>
    <row r="48" spans="29:30" s="28" customFormat="1" x14ac:dyDescent="0.25">
      <c r="AC48" s="29"/>
      <c r="AD48" s="29"/>
    </row>
    <row r="49" spans="29:30" s="28" customFormat="1" x14ac:dyDescent="0.25">
      <c r="AC49" s="29"/>
      <c r="AD49" s="29"/>
    </row>
    <row r="50" spans="29:30" s="28" customFormat="1" x14ac:dyDescent="0.25">
      <c r="AC50" s="29"/>
      <c r="AD50" s="29"/>
    </row>
    <row r="51" spans="29:30" s="28" customFormat="1" x14ac:dyDescent="0.25">
      <c r="AC51" s="29"/>
      <c r="AD51" s="29"/>
    </row>
    <row r="52" spans="29:30" s="28" customFormat="1" x14ac:dyDescent="0.25">
      <c r="AC52" s="29"/>
      <c r="AD52" s="29"/>
    </row>
    <row r="53" spans="29:30" s="28" customFormat="1" x14ac:dyDescent="0.25">
      <c r="AC53" s="29"/>
      <c r="AD53" s="29"/>
    </row>
    <row r="54" spans="29:30" s="28" customFormat="1" x14ac:dyDescent="0.25">
      <c r="AC54" s="29"/>
      <c r="AD54" s="29"/>
    </row>
    <row r="55" spans="29:30" s="28" customFormat="1" x14ac:dyDescent="0.25">
      <c r="AC55" s="29"/>
      <c r="AD55" s="29"/>
    </row>
    <row r="56" spans="29:30" s="28" customFormat="1" x14ac:dyDescent="0.25">
      <c r="AC56" s="29"/>
      <c r="AD56" s="29"/>
    </row>
    <row r="57" spans="29:30" s="28" customFormat="1" x14ac:dyDescent="0.25">
      <c r="AC57" s="29"/>
      <c r="AD57" s="29"/>
    </row>
    <row r="58" spans="29:30" s="28" customFormat="1" x14ac:dyDescent="0.25">
      <c r="AC58" s="29"/>
      <c r="AD58" s="29"/>
    </row>
    <row r="59" spans="29:30" s="28" customFormat="1" x14ac:dyDescent="0.25">
      <c r="AC59" s="29"/>
      <c r="AD59" s="29"/>
    </row>
    <row r="60" spans="29:30" s="28" customFormat="1" x14ac:dyDescent="0.25">
      <c r="AC60" s="29"/>
      <c r="AD60" s="29"/>
    </row>
    <row r="61" spans="29:30" s="28" customFormat="1" x14ac:dyDescent="0.25">
      <c r="AC61" s="29"/>
      <c r="AD61" s="29"/>
    </row>
    <row r="62" spans="29:30" s="28" customFormat="1" x14ac:dyDescent="0.25">
      <c r="AC62" s="29"/>
      <c r="AD62" s="29"/>
    </row>
    <row r="63" spans="29:30" s="28" customFormat="1" x14ac:dyDescent="0.25">
      <c r="AC63" s="29"/>
      <c r="AD63" s="29"/>
    </row>
    <row r="64" spans="29:30" s="28" customFormat="1" x14ac:dyDescent="0.25">
      <c r="AC64" s="29"/>
      <c r="AD64" s="29"/>
    </row>
    <row r="65" spans="29:30" s="28" customFormat="1" x14ac:dyDescent="0.25">
      <c r="AC65" s="29"/>
      <c r="AD65" s="29"/>
    </row>
    <row r="66" spans="29:30" s="28" customFormat="1" x14ac:dyDescent="0.25">
      <c r="AC66" s="29"/>
      <c r="AD66" s="29"/>
    </row>
    <row r="67" spans="29:30" s="28" customFormat="1" x14ac:dyDescent="0.25">
      <c r="AC67" s="29"/>
      <c r="AD67" s="29"/>
    </row>
    <row r="68" spans="29:30" s="28" customFormat="1" x14ac:dyDescent="0.25">
      <c r="AC68" s="29"/>
      <c r="AD68" s="29"/>
    </row>
    <row r="69" spans="29:30" s="28" customFormat="1" x14ac:dyDescent="0.25">
      <c r="AC69" s="29"/>
      <c r="AD69" s="29"/>
    </row>
    <row r="70" spans="29:30" s="28" customFormat="1" x14ac:dyDescent="0.25">
      <c r="AC70" s="29"/>
      <c r="AD70" s="29"/>
    </row>
    <row r="71" spans="29:30" s="28" customFormat="1" x14ac:dyDescent="0.25">
      <c r="AC71" s="29"/>
      <c r="AD71" s="29"/>
    </row>
    <row r="72" spans="29:30" s="28" customFormat="1" x14ac:dyDescent="0.25">
      <c r="AC72" s="29"/>
      <c r="AD72" s="29"/>
    </row>
    <row r="73" spans="29:30" s="28" customFormat="1" x14ac:dyDescent="0.25">
      <c r="AC73" s="29"/>
      <c r="AD73" s="29"/>
    </row>
    <row r="74" spans="29:30" s="28" customFormat="1" x14ac:dyDescent="0.25">
      <c r="AC74" s="29"/>
      <c r="AD74" s="29"/>
    </row>
    <row r="75" spans="29:30" s="28" customFormat="1" x14ac:dyDescent="0.25">
      <c r="AC75" s="29"/>
      <c r="AD75" s="29"/>
    </row>
    <row r="76" spans="29:30" s="28" customFormat="1" x14ac:dyDescent="0.25">
      <c r="AC76" s="29"/>
      <c r="AD76" s="29"/>
    </row>
    <row r="77" spans="29:30" s="28" customFormat="1" x14ac:dyDescent="0.25">
      <c r="AC77" s="29"/>
      <c r="AD77" s="29"/>
    </row>
    <row r="78" spans="29:30" s="28" customFormat="1" x14ac:dyDescent="0.25">
      <c r="AC78" s="29"/>
      <c r="AD78" s="29"/>
    </row>
    <row r="79" spans="29:30" s="28" customFormat="1" x14ac:dyDescent="0.25">
      <c r="AC79" s="29"/>
      <c r="AD79" s="29"/>
    </row>
    <row r="80" spans="29:30" s="28" customFormat="1" x14ac:dyDescent="0.25">
      <c r="AC80" s="29"/>
      <c r="AD80" s="29"/>
    </row>
    <row r="81" spans="29:30" s="28" customFormat="1" x14ac:dyDescent="0.25">
      <c r="AC81" s="29"/>
      <c r="AD81" s="29"/>
    </row>
    <row r="82" spans="29:30" s="28" customFormat="1" x14ac:dyDescent="0.25">
      <c r="AC82" s="29"/>
      <c r="AD82" s="29"/>
    </row>
    <row r="83" spans="29:30" s="28" customFormat="1" x14ac:dyDescent="0.25">
      <c r="AC83" s="29"/>
      <c r="AD83" s="29"/>
    </row>
    <row r="84" spans="29:30" s="28" customFormat="1" x14ac:dyDescent="0.25">
      <c r="AC84" s="29"/>
      <c r="AD84" s="29"/>
    </row>
    <row r="85" spans="29:30" s="28" customFormat="1" x14ac:dyDescent="0.25">
      <c r="AC85" s="29"/>
      <c r="AD85" s="29"/>
    </row>
    <row r="86" spans="29:30" s="28" customFormat="1" x14ac:dyDescent="0.25">
      <c r="AC86" s="29"/>
      <c r="AD86" s="29"/>
    </row>
    <row r="87" spans="29:30" s="28" customFormat="1" x14ac:dyDescent="0.25">
      <c r="AC87" s="29"/>
      <c r="AD87" s="29"/>
    </row>
    <row r="88" spans="29:30" s="28" customFormat="1" x14ac:dyDescent="0.25">
      <c r="AC88" s="29"/>
      <c r="AD88" s="29"/>
    </row>
    <row r="89" spans="29:30" s="28" customFormat="1" x14ac:dyDescent="0.25">
      <c r="AC89" s="29"/>
      <c r="AD89" s="29"/>
    </row>
    <row r="90" spans="29:30" s="28" customFormat="1" x14ac:dyDescent="0.25">
      <c r="AC90" s="29"/>
      <c r="AD90" s="29"/>
    </row>
    <row r="91" spans="29:30" s="28" customFormat="1" x14ac:dyDescent="0.25">
      <c r="AC91" s="29"/>
      <c r="AD91" s="29"/>
    </row>
    <row r="92" spans="29:30" s="28" customFormat="1" x14ac:dyDescent="0.25">
      <c r="AC92" s="29"/>
      <c r="AD92" s="29"/>
    </row>
    <row r="93" spans="29:30" s="28" customFormat="1" x14ac:dyDescent="0.25">
      <c r="AC93" s="29"/>
      <c r="AD93" s="29"/>
    </row>
    <row r="94" spans="29:30" s="28" customFormat="1" x14ac:dyDescent="0.25">
      <c r="AC94" s="29"/>
      <c r="AD94" s="29"/>
    </row>
    <row r="95" spans="29:30" s="28" customFormat="1" x14ac:dyDescent="0.25">
      <c r="AC95" s="29"/>
      <c r="AD95" s="29"/>
    </row>
    <row r="96" spans="29:30" s="28" customFormat="1" x14ac:dyDescent="0.25">
      <c r="AC96" s="29"/>
      <c r="AD96" s="29"/>
    </row>
    <row r="97" spans="29:30" s="28" customFormat="1" x14ac:dyDescent="0.25">
      <c r="AC97" s="29"/>
      <c r="AD97" s="29"/>
    </row>
    <row r="98" spans="29:30" s="28" customFormat="1" x14ac:dyDescent="0.25">
      <c r="AC98" s="29"/>
      <c r="AD98" s="29"/>
    </row>
    <row r="99" spans="29:30" s="28" customFormat="1" x14ac:dyDescent="0.25">
      <c r="AC99" s="29"/>
      <c r="AD99" s="29"/>
    </row>
    <row r="100" spans="29:30" s="28" customFormat="1" x14ac:dyDescent="0.25">
      <c r="AC100" s="29"/>
      <c r="AD100" s="29"/>
    </row>
    <row r="101" spans="29:30" s="28" customFormat="1" x14ac:dyDescent="0.25">
      <c r="AC101" s="29"/>
      <c r="AD101" s="29"/>
    </row>
    <row r="102" spans="29:30" s="28" customFormat="1" x14ac:dyDescent="0.25">
      <c r="AC102" s="29"/>
      <c r="AD102" s="29"/>
    </row>
    <row r="103" spans="29:30" s="28" customFormat="1" x14ac:dyDescent="0.25">
      <c r="AC103" s="29"/>
      <c r="AD103" s="29"/>
    </row>
    <row r="104" spans="29:30" s="28" customFormat="1" x14ac:dyDescent="0.25">
      <c r="AC104" s="29"/>
      <c r="AD104" s="29"/>
    </row>
    <row r="105" spans="29:30" s="28" customFormat="1" x14ac:dyDescent="0.25">
      <c r="AC105" s="29"/>
      <c r="AD105" s="29"/>
    </row>
    <row r="106" spans="29:30" s="28" customFormat="1" x14ac:dyDescent="0.25">
      <c r="AC106" s="29"/>
      <c r="AD106" s="29"/>
    </row>
    <row r="107" spans="29:30" s="28" customFormat="1" x14ac:dyDescent="0.25">
      <c r="AC107" s="29"/>
      <c r="AD107" s="29"/>
    </row>
    <row r="108" spans="29:30" s="28" customFormat="1" x14ac:dyDescent="0.25">
      <c r="AC108" s="29"/>
      <c r="AD108" s="29"/>
    </row>
    <row r="109" spans="29:30" s="28" customFormat="1" x14ac:dyDescent="0.25">
      <c r="AC109" s="29"/>
      <c r="AD109" s="29"/>
    </row>
    <row r="110" spans="29:30" s="28" customFormat="1" x14ac:dyDescent="0.25">
      <c r="AC110" s="29"/>
      <c r="AD110" s="29"/>
    </row>
    <row r="111" spans="29:30" s="28" customFormat="1" x14ac:dyDescent="0.25">
      <c r="AC111" s="29"/>
      <c r="AD111" s="29"/>
    </row>
    <row r="112" spans="29:30" s="28" customFormat="1" x14ac:dyDescent="0.25">
      <c r="AC112" s="29"/>
      <c r="AD112" s="29"/>
    </row>
    <row r="113" spans="29:30" s="28" customFormat="1" x14ac:dyDescent="0.25">
      <c r="AC113" s="29"/>
      <c r="AD113" s="29"/>
    </row>
    <row r="114" spans="29:30" s="28" customFormat="1" x14ac:dyDescent="0.25">
      <c r="AC114" s="29"/>
      <c r="AD114" s="29"/>
    </row>
    <row r="115" spans="29:30" s="28" customFormat="1" x14ac:dyDescent="0.25">
      <c r="AC115" s="29"/>
      <c r="AD115" s="29"/>
    </row>
    <row r="116" spans="29:30" s="28" customFormat="1" x14ac:dyDescent="0.25">
      <c r="AC116" s="29"/>
      <c r="AD116" s="29"/>
    </row>
    <row r="117" spans="29:30" s="28" customFormat="1" x14ac:dyDescent="0.25">
      <c r="AC117" s="29"/>
      <c r="AD117" s="29"/>
    </row>
    <row r="118" spans="29:30" s="28" customFormat="1" x14ac:dyDescent="0.25">
      <c r="AC118" s="29"/>
      <c r="AD118" s="29"/>
    </row>
    <row r="119" spans="29:30" s="28" customFormat="1" x14ac:dyDescent="0.25">
      <c r="AC119" s="29"/>
      <c r="AD119" s="29"/>
    </row>
    <row r="120" spans="29:30" s="28" customFormat="1" x14ac:dyDescent="0.25">
      <c r="AC120" s="29"/>
      <c r="AD120" s="29"/>
    </row>
    <row r="121" spans="29:30" s="28" customFormat="1" x14ac:dyDescent="0.25">
      <c r="AC121" s="29"/>
      <c r="AD121" s="29"/>
    </row>
    <row r="122" spans="29:30" s="28" customFormat="1" x14ac:dyDescent="0.25">
      <c r="AC122" s="29"/>
      <c r="AD122" s="29"/>
    </row>
    <row r="123" spans="29:30" s="28" customFormat="1" x14ac:dyDescent="0.25">
      <c r="AC123" s="29"/>
      <c r="AD123" s="29"/>
    </row>
    <row r="124" spans="29:30" s="28" customFormat="1" x14ac:dyDescent="0.25">
      <c r="AC124" s="29"/>
      <c r="AD124" s="29"/>
    </row>
    <row r="125" spans="29:30" s="28" customFormat="1" x14ac:dyDescent="0.25">
      <c r="AC125" s="29"/>
      <c r="AD125" s="29"/>
    </row>
    <row r="126" spans="29:30" s="28" customFormat="1" x14ac:dyDescent="0.25">
      <c r="AC126" s="29"/>
      <c r="AD126" s="29"/>
    </row>
    <row r="127" spans="29:30" s="28" customFormat="1" x14ac:dyDescent="0.25">
      <c r="AC127" s="29"/>
      <c r="AD127" s="29"/>
    </row>
    <row r="128" spans="29:30" s="28" customFormat="1" x14ac:dyDescent="0.25">
      <c r="AC128" s="29"/>
      <c r="AD128" s="29"/>
    </row>
    <row r="129" spans="29:30" s="28" customFormat="1" x14ac:dyDescent="0.25">
      <c r="AC129" s="29"/>
      <c r="AD129" s="29"/>
    </row>
    <row r="130" spans="29:30" s="28" customFormat="1" x14ac:dyDescent="0.25">
      <c r="AC130" s="29"/>
      <c r="AD130" s="29"/>
    </row>
    <row r="131" spans="29:30" s="28" customFormat="1" x14ac:dyDescent="0.25">
      <c r="AC131" s="29"/>
      <c r="AD131" s="29"/>
    </row>
    <row r="132" spans="29:30" s="28" customFormat="1" x14ac:dyDescent="0.25">
      <c r="AC132" s="29"/>
      <c r="AD132" s="29"/>
    </row>
    <row r="133" spans="29:30" s="28" customFormat="1" x14ac:dyDescent="0.25">
      <c r="AC133" s="29"/>
      <c r="AD133" s="29"/>
    </row>
    <row r="134" spans="29:30" s="28" customFormat="1" x14ac:dyDescent="0.25">
      <c r="AC134" s="29"/>
      <c r="AD134" s="29"/>
    </row>
    <row r="135" spans="29:30" s="28" customFormat="1" x14ac:dyDescent="0.25">
      <c r="AC135" s="29"/>
      <c r="AD135" s="29"/>
    </row>
    <row r="136" spans="29:30" s="28" customFormat="1" x14ac:dyDescent="0.25">
      <c r="AC136" s="29"/>
      <c r="AD136" s="29"/>
    </row>
    <row r="137" spans="29:30" s="28" customFormat="1" x14ac:dyDescent="0.25">
      <c r="AC137" s="29"/>
      <c r="AD137" s="29"/>
    </row>
    <row r="138" spans="29:30" s="28" customFormat="1" x14ac:dyDescent="0.25">
      <c r="AC138" s="29"/>
      <c r="AD138" s="29"/>
    </row>
    <row r="139" spans="29:30" s="28" customFormat="1" x14ac:dyDescent="0.25">
      <c r="AC139" s="29"/>
      <c r="AD139" s="29"/>
    </row>
    <row r="140" spans="29:30" s="28" customFormat="1" x14ac:dyDescent="0.25">
      <c r="AC140" s="29"/>
      <c r="AD140" s="29"/>
    </row>
    <row r="141" spans="29:30" s="28" customFormat="1" x14ac:dyDescent="0.25">
      <c r="AC141" s="29"/>
      <c r="AD141" s="29"/>
    </row>
    <row r="142" spans="29:30" s="28" customFormat="1" x14ac:dyDescent="0.25">
      <c r="AC142" s="29"/>
      <c r="AD142" s="29"/>
    </row>
    <row r="143" spans="29:30" s="28" customFormat="1" x14ac:dyDescent="0.25">
      <c r="AC143" s="29"/>
      <c r="AD143" s="29"/>
    </row>
    <row r="144" spans="29:30" s="28" customFormat="1" x14ac:dyDescent="0.25">
      <c r="AC144" s="29"/>
      <c r="AD144" s="29"/>
    </row>
    <row r="145" spans="29:30" s="28" customFormat="1" x14ac:dyDescent="0.25">
      <c r="AC145" s="29"/>
      <c r="AD145" s="29"/>
    </row>
    <row r="146" spans="29:30" s="28" customFormat="1" x14ac:dyDescent="0.25">
      <c r="AC146" s="29"/>
      <c r="AD146" s="29"/>
    </row>
    <row r="147" spans="29:30" s="28" customFormat="1" x14ac:dyDescent="0.25">
      <c r="AC147" s="29"/>
      <c r="AD147" s="29"/>
    </row>
    <row r="148" spans="29:30" s="28" customFormat="1" x14ac:dyDescent="0.25">
      <c r="AC148" s="29"/>
      <c r="AD148" s="29"/>
    </row>
    <row r="149" spans="29:30" s="28" customFormat="1" x14ac:dyDescent="0.25">
      <c r="AC149" s="29"/>
      <c r="AD149" s="29"/>
    </row>
    <row r="150" spans="29:30" s="28" customFormat="1" x14ac:dyDescent="0.25">
      <c r="AC150" s="29"/>
      <c r="AD150" s="29"/>
    </row>
    <row r="151" spans="29:30" s="28" customFormat="1" x14ac:dyDescent="0.25">
      <c r="AC151" s="29"/>
      <c r="AD151" s="29"/>
    </row>
    <row r="152" spans="29:30" s="28" customFormat="1" x14ac:dyDescent="0.25">
      <c r="AC152" s="29"/>
      <c r="AD152" s="29"/>
    </row>
    <row r="153" spans="29:30" s="28" customFormat="1" x14ac:dyDescent="0.25">
      <c r="AC153" s="29"/>
      <c r="AD153" s="29"/>
    </row>
    <row r="154" spans="29:30" s="28" customFormat="1" x14ac:dyDescent="0.25">
      <c r="AC154" s="29"/>
      <c r="AD154" s="29"/>
    </row>
    <row r="155" spans="29:30" s="28" customFormat="1" x14ac:dyDescent="0.25">
      <c r="AC155" s="29"/>
      <c r="AD155" s="29"/>
    </row>
    <row r="156" spans="29:30" s="28" customFormat="1" x14ac:dyDescent="0.25">
      <c r="AC156" s="29"/>
      <c r="AD156" s="29"/>
    </row>
    <row r="157" spans="29:30" s="28" customFormat="1" x14ac:dyDescent="0.25">
      <c r="AC157" s="29"/>
      <c r="AD157" s="29"/>
    </row>
    <row r="158" spans="29:30" s="28" customFormat="1" x14ac:dyDescent="0.25">
      <c r="AC158" s="29"/>
      <c r="AD158" s="29"/>
    </row>
    <row r="159" spans="29:30" s="28" customFormat="1" x14ac:dyDescent="0.25">
      <c r="AC159" s="29"/>
      <c r="AD159" s="29"/>
    </row>
    <row r="160" spans="29:30" s="28" customFormat="1" x14ac:dyDescent="0.25">
      <c r="AC160" s="29"/>
      <c r="AD160" s="29"/>
    </row>
    <row r="161" spans="29:30" s="28" customFormat="1" x14ac:dyDescent="0.25">
      <c r="AC161" s="29"/>
      <c r="AD161" s="29"/>
    </row>
    <row r="162" spans="29:30" s="28" customFormat="1" x14ac:dyDescent="0.25">
      <c r="AC162" s="29"/>
      <c r="AD162" s="29"/>
    </row>
    <row r="163" spans="29:30" s="28" customFormat="1" x14ac:dyDescent="0.25">
      <c r="AC163" s="29"/>
      <c r="AD163" s="29"/>
    </row>
    <row r="164" spans="29:30" s="28" customFormat="1" x14ac:dyDescent="0.25">
      <c r="AC164" s="29"/>
      <c r="AD164" s="29"/>
    </row>
    <row r="165" spans="29:30" s="28" customFormat="1" x14ac:dyDescent="0.25">
      <c r="AC165" s="29"/>
      <c r="AD165" s="29"/>
    </row>
    <row r="166" spans="29:30" s="28" customFormat="1" x14ac:dyDescent="0.25">
      <c r="AC166" s="29"/>
      <c r="AD166" s="29"/>
    </row>
    <row r="167" spans="29:30" s="28" customFormat="1" x14ac:dyDescent="0.25">
      <c r="AC167" s="29"/>
      <c r="AD167" s="29"/>
    </row>
    <row r="168" spans="29:30" s="28" customFormat="1" x14ac:dyDescent="0.25">
      <c r="AC168" s="29"/>
      <c r="AD168" s="29"/>
    </row>
    <row r="169" spans="29:30" s="28" customFormat="1" x14ac:dyDescent="0.25">
      <c r="AC169" s="29"/>
      <c r="AD169" s="29"/>
    </row>
  </sheetData>
  <mergeCells count="40">
    <mergeCell ref="B19:B20"/>
    <mergeCell ref="Y19:Y20"/>
    <mergeCell ref="X19:X20"/>
    <mergeCell ref="W19:W20"/>
    <mergeCell ref="V19:V20"/>
    <mergeCell ref="U19:U20"/>
    <mergeCell ref="T19:T20"/>
    <mergeCell ref="S19:S20"/>
    <mergeCell ref="R19:R20"/>
    <mergeCell ref="C19:C20"/>
    <mergeCell ref="N14:Q14"/>
    <mergeCell ref="C15:C17"/>
    <mergeCell ref="D15:D17"/>
    <mergeCell ref="E15:E17"/>
    <mergeCell ref="F15:G15"/>
    <mergeCell ref="H15:H17"/>
    <mergeCell ref="F16:F17"/>
    <mergeCell ref="G16:G17"/>
    <mergeCell ref="N15:O16"/>
    <mergeCell ref="P15:P17"/>
    <mergeCell ref="J15:J17"/>
    <mergeCell ref="K15:K17"/>
    <mergeCell ref="L15:L17"/>
    <mergeCell ref="M15:M17"/>
    <mergeCell ref="K8:N8"/>
    <mergeCell ref="B9:AA9"/>
    <mergeCell ref="B10:AA10"/>
    <mergeCell ref="B11:AA11"/>
    <mergeCell ref="B14:B17"/>
    <mergeCell ref="C14:H14"/>
    <mergeCell ref="R14:Y14"/>
    <mergeCell ref="Z14:Z17"/>
    <mergeCell ref="AA14:AA17"/>
    <mergeCell ref="X15:Y16"/>
    <mergeCell ref="Q15:Q17"/>
    <mergeCell ref="R15:S16"/>
    <mergeCell ref="T15:U16"/>
    <mergeCell ref="V15:W16"/>
    <mergeCell ref="I14:I17"/>
    <mergeCell ref="J14:M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69"/>
  <sheetViews>
    <sheetView topLeftCell="B1" zoomScale="78" zoomScaleNormal="78" workbookViewId="0">
      <selection activeCell="H20" sqref="H20"/>
    </sheetView>
  </sheetViews>
  <sheetFormatPr defaultRowHeight="15.75" x14ac:dyDescent="0.25"/>
  <cols>
    <col min="1" max="1" width="9.140625" style="1"/>
    <col min="2" max="2" width="6.5703125" style="1" customWidth="1"/>
    <col min="3" max="3" width="19.85546875" style="1" customWidth="1"/>
    <col min="4" max="4" width="44.140625" style="1" customWidth="1"/>
    <col min="5" max="9" width="9.28515625" style="1" bestFit="1" customWidth="1"/>
    <col min="10" max="10" width="13.28515625" style="1" customWidth="1"/>
    <col min="11" max="11" width="13.85546875" style="1" customWidth="1"/>
    <col min="12" max="12" width="14.7109375" style="1" customWidth="1"/>
    <col min="13" max="13" width="15.7109375" style="1" customWidth="1"/>
    <col min="14" max="14" width="11.42578125" style="1" customWidth="1"/>
    <col min="15" max="15" width="12.42578125" style="1" bestFit="1" customWidth="1"/>
    <col min="16" max="17" width="9.42578125" style="1" bestFit="1" customWidth="1"/>
    <col min="18" max="25" width="9.140625" style="1" customWidth="1"/>
    <col min="26" max="26" width="20.5703125" style="1" customWidth="1"/>
    <col min="27" max="27" width="25.7109375" style="1" customWidth="1"/>
    <col min="28" max="28" width="11.28515625" style="1" customWidth="1"/>
    <col min="29" max="30" width="11.28515625" style="4" customWidth="1"/>
    <col min="31" max="31" width="9.28515625" style="1" bestFit="1" customWidth="1"/>
    <col min="32" max="16384" width="9.140625" style="1"/>
  </cols>
  <sheetData>
    <row r="1" spans="2:27" x14ac:dyDescent="0.25">
      <c r="Z1" s="2"/>
      <c r="AA1" s="3" t="s">
        <v>25</v>
      </c>
    </row>
    <row r="2" spans="2:27" x14ac:dyDescent="0.25">
      <c r="AA2" s="5" t="s">
        <v>26</v>
      </c>
    </row>
    <row r="3" spans="2:27" x14ac:dyDescent="0.25">
      <c r="AA3" s="7" t="s">
        <v>27</v>
      </c>
    </row>
    <row r="4" spans="2:27" x14ac:dyDescent="0.25">
      <c r="AA4" s="3" t="s">
        <v>28</v>
      </c>
    </row>
    <row r="6" spans="2:27" x14ac:dyDescent="0.25">
      <c r="AA6" s="3" t="s">
        <v>29</v>
      </c>
    </row>
    <row r="7" spans="2:27" x14ac:dyDescent="0.25">
      <c r="AA7" s="3"/>
    </row>
    <row r="8" spans="2:27" ht="15" customHeight="1" x14ac:dyDescent="0.25">
      <c r="J8" s="136" t="s">
        <v>30</v>
      </c>
      <c r="K8" s="136"/>
      <c r="L8" s="136"/>
      <c r="M8" s="136"/>
      <c r="N8" s="92"/>
      <c r="AA8" s="3"/>
    </row>
    <row r="9" spans="2:27" x14ac:dyDescent="0.25">
      <c r="B9" s="136" t="s">
        <v>74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</row>
    <row r="10" spans="2:27" x14ac:dyDescent="0.25">
      <c r="B10" s="143" t="s">
        <v>40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</row>
    <row r="11" spans="2:27" x14ac:dyDescent="0.25">
      <c r="B11" s="136" t="s">
        <v>31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</row>
    <row r="12" spans="2:27" x14ac:dyDescent="0.25">
      <c r="AA12" s="3"/>
    </row>
    <row r="13" spans="2:27" ht="16.5" thickBot="1" x14ac:dyDescent="0.3">
      <c r="J13" s="93">
        <v>17649.321</v>
      </c>
      <c r="K13" s="9">
        <f>J19</f>
        <v>17649.329999999998</v>
      </c>
      <c r="L13" s="9">
        <f>J13-K13</f>
        <v>-8.9999999981955625E-3</v>
      </c>
      <c r="N13" s="6"/>
      <c r="O13" s="6"/>
    </row>
    <row r="14" spans="2:27" ht="75.75" customHeight="1" thickBot="1" x14ac:dyDescent="0.3">
      <c r="B14" s="129" t="s">
        <v>0</v>
      </c>
      <c r="C14" s="133" t="s">
        <v>1</v>
      </c>
      <c r="D14" s="134"/>
      <c r="E14" s="134"/>
      <c r="F14" s="134"/>
      <c r="G14" s="134"/>
      <c r="H14" s="135"/>
      <c r="I14" s="126" t="s">
        <v>2</v>
      </c>
      <c r="J14" s="134" t="s">
        <v>3</v>
      </c>
      <c r="K14" s="134"/>
      <c r="L14" s="134"/>
      <c r="M14" s="135"/>
      <c r="N14" s="133" t="s">
        <v>12</v>
      </c>
      <c r="O14" s="134"/>
      <c r="P14" s="134"/>
      <c r="Q14" s="135"/>
      <c r="R14" s="133" t="s">
        <v>13</v>
      </c>
      <c r="S14" s="134"/>
      <c r="T14" s="134"/>
      <c r="U14" s="134"/>
      <c r="V14" s="134"/>
      <c r="W14" s="134"/>
      <c r="X14" s="134"/>
      <c r="Y14" s="135"/>
      <c r="Z14" s="126" t="s">
        <v>14</v>
      </c>
      <c r="AA14" s="126" t="s">
        <v>15</v>
      </c>
    </row>
    <row r="15" spans="2:27" ht="99" customHeight="1" thickBot="1" x14ac:dyDescent="0.3">
      <c r="B15" s="145"/>
      <c r="C15" s="126" t="s">
        <v>4</v>
      </c>
      <c r="D15" s="126" t="s">
        <v>5</v>
      </c>
      <c r="E15" s="126" t="s">
        <v>6</v>
      </c>
      <c r="F15" s="133" t="s">
        <v>7</v>
      </c>
      <c r="G15" s="135"/>
      <c r="H15" s="126" t="s">
        <v>8</v>
      </c>
      <c r="I15" s="127"/>
      <c r="J15" s="130" t="s">
        <v>93</v>
      </c>
      <c r="K15" s="126" t="s">
        <v>94</v>
      </c>
      <c r="L15" s="126" t="s">
        <v>95</v>
      </c>
      <c r="M15" s="126" t="s">
        <v>9</v>
      </c>
      <c r="N15" s="129" t="s">
        <v>16</v>
      </c>
      <c r="O15" s="130"/>
      <c r="P15" s="126" t="s">
        <v>17</v>
      </c>
      <c r="Q15" s="126" t="s">
        <v>18</v>
      </c>
      <c r="R15" s="129" t="s">
        <v>19</v>
      </c>
      <c r="S15" s="130"/>
      <c r="T15" s="129" t="s">
        <v>20</v>
      </c>
      <c r="U15" s="130"/>
      <c r="V15" s="129" t="s">
        <v>21</v>
      </c>
      <c r="W15" s="130"/>
      <c r="X15" s="129" t="s">
        <v>22</v>
      </c>
      <c r="Y15" s="130"/>
      <c r="Z15" s="127"/>
      <c r="AA15" s="127"/>
    </row>
    <row r="16" spans="2:27" ht="69.75" customHeight="1" thickBot="1" x14ac:dyDescent="0.3">
      <c r="B16" s="145"/>
      <c r="C16" s="127"/>
      <c r="D16" s="127"/>
      <c r="E16" s="127"/>
      <c r="F16" s="126" t="s">
        <v>10</v>
      </c>
      <c r="G16" s="126" t="s">
        <v>11</v>
      </c>
      <c r="H16" s="127"/>
      <c r="I16" s="127"/>
      <c r="J16" s="146"/>
      <c r="K16" s="127"/>
      <c r="L16" s="127"/>
      <c r="M16" s="127"/>
      <c r="N16" s="131"/>
      <c r="O16" s="132"/>
      <c r="P16" s="127"/>
      <c r="Q16" s="127"/>
      <c r="R16" s="131"/>
      <c r="S16" s="132"/>
      <c r="T16" s="131"/>
      <c r="U16" s="132"/>
      <c r="V16" s="131"/>
      <c r="W16" s="132"/>
      <c r="X16" s="131"/>
      <c r="Y16" s="132"/>
      <c r="Z16" s="127"/>
      <c r="AA16" s="127"/>
    </row>
    <row r="17" spans="2:33" ht="63.75" thickBot="1" x14ac:dyDescent="0.3">
      <c r="B17" s="131"/>
      <c r="C17" s="128"/>
      <c r="D17" s="128"/>
      <c r="E17" s="128"/>
      <c r="F17" s="128"/>
      <c r="G17" s="128"/>
      <c r="H17" s="128"/>
      <c r="I17" s="128"/>
      <c r="J17" s="132"/>
      <c r="K17" s="128"/>
      <c r="L17" s="128"/>
      <c r="M17" s="128"/>
      <c r="N17" s="10" t="s">
        <v>96</v>
      </c>
      <c r="O17" s="10" t="s">
        <v>97</v>
      </c>
      <c r="P17" s="128"/>
      <c r="Q17" s="128"/>
      <c r="R17" s="10" t="s">
        <v>23</v>
      </c>
      <c r="S17" s="11" t="s">
        <v>24</v>
      </c>
      <c r="T17" s="11" t="s">
        <v>23</v>
      </c>
      <c r="U17" s="11" t="s">
        <v>24</v>
      </c>
      <c r="V17" s="11" t="s">
        <v>10</v>
      </c>
      <c r="W17" s="11" t="s">
        <v>11</v>
      </c>
      <c r="X17" s="11" t="s">
        <v>23</v>
      </c>
      <c r="Y17" s="11" t="s">
        <v>24</v>
      </c>
      <c r="Z17" s="128"/>
      <c r="AA17" s="128"/>
    </row>
    <row r="18" spans="2:33" ht="16.5" thickBot="1" x14ac:dyDescent="0.3">
      <c r="B18" s="94">
        <v>1</v>
      </c>
      <c r="C18" s="13">
        <v>2</v>
      </c>
      <c r="D18" s="95">
        <v>3</v>
      </c>
      <c r="E18" s="95">
        <v>4</v>
      </c>
      <c r="F18" s="95">
        <v>5</v>
      </c>
      <c r="G18" s="95">
        <v>6</v>
      </c>
      <c r="H18" s="95">
        <v>7</v>
      </c>
      <c r="I18" s="13">
        <v>8</v>
      </c>
      <c r="J18" s="95">
        <v>9</v>
      </c>
      <c r="K18" s="95">
        <v>10</v>
      </c>
      <c r="L18" s="95">
        <v>11</v>
      </c>
      <c r="M18" s="95">
        <v>12</v>
      </c>
      <c r="N18" s="13">
        <v>13</v>
      </c>
      <c r="O18" s="95">
        <v>14</v>
      </c>
      <c r="P18" s="95">
        <v>15</v>
      </c>
      <c r="Q18" s="95">
        <v>16</v>
      </c>
      <c r="R18" s="13">
        <v>17</v>
      </c>
      <c r="S18" s="95">
        <v>18</v>
      </c>
      <c r="T18" s="95">
        <v>19</v>
      </c>
      <c r="U18" s="95">
        <v>20</v>
      </c>
      <c r="V18" s="95">
        <v>21</v>
      </c>
      <c r="W18" s="95">
        <v>22</v>
      </c>
      <c r="X18" s="95">
        <v>23</v>
      </c>
      <c r="Y18" s="95">
        <v>24</v>
      </c>
      <c r="Z18" s="13">
        <v>25</v>
      </c>
      <c r="AA18" s="13">
        <v>26</v>
      </c>
    </row>
    <row r="19" spans="2:33" s="28" customFormat="1" ht="15" customHeight="1" x14ac:dyDescent="0.25">
      <c r="B19" s="147">
        <v>1</v>
      </c>
      <c r="C19" s="161" t="s">
        <v>67</v>
      </c>
      <c r="D19" s="96" t="s">
        <v>33</v>
      </c>
      <c r="E19" s="16"/>
      <c r="F19" s="20"/>
      <c r="G19" s="21"/>
      <c r="H19" s="22"/>
      <c r="I19" s="16"/>
      <c r="J19" s="23">
        <f>SUM(J20:J20)</f>
        <v>17649.329999999998</v>
      </c>
      <c r="K19" s="24">
        <f>SUM(K20:K20)</f>
        <v>0</v>
      </c>
      <c r="L19" s="25">
        <f>SUM(L20:L20)</f>
        <v>17649.329999999998</v>
      </c>
      <c r="M19" s="97"/>
      <c r="N19" s="26">
        <f>SUM(N20:N20)</f>
        <v>4991.3599999999997</v>
      </c>
      <c r="O19" s="25">
        <f>SUM(O20:O20)</f>
        <v>12657.97</v>
      </c>
      <c r="P19" s="24">
        <f>SUM(P20:P20)</f>
        <v>0</v>
      </c>
      <c r="Q19" s="98">
        <f>SUM(Q20:Q20)</f>
        <v>0</v>
      </c>
      <c r="R19" s="159" t="s">
        <v>47</v>
      </c>
      <c r="S19" s="149" t="s">
        <v>47</v>
      </c>
      <c r="T19" s="150" t="s">
        <v>47</v>
      </c>
      <c r="U19" s="149" t="s">
        <v>47</v>
      </c>
      <c r="V19" s="151">
        <v>0.1278</v>
      </c>
      <c r="W19" s="153">
        <v>0.1278</v>
      </c>
      <c r="X19" s="155">
        <v>3</v>
      </c>
      <c r="Y19" s="157">
        <v>3</v>
      </c>
      <c r="Z19" s="147" t="s">
        <v>138</v>
      </c>
      <c r="AA19" s="147" t="s">
        <v>65</v>
      </c>
      <c r="AC19" s="29"/>
      <c r="AD19" s="29"/>
    </row>
    <row r="20" spans="2:33" s="28" customFormat="1" ht="127.5" customHeight="1" thickBot="1" x14ac:dyDescent="0.3">
      <c r="B20" s="148"/>
      <c r="C20" s="162"/>
      <c r="D20" s="55" t="s">
        <v>72</v>
      </c>
      <c r="E20" s="55" t="s">
        <v>34</v>
      </c>
      <c r="F20" s="58">
        <v>1</v>
      </c>
      <c r="G20" s="65">
        <v>0</v>
      </c>
      <c r="H20" s="56" t="s">
        <v>73</v>
      </c>
      <c r="I20" s="55"/>
      <c r="J20" s="60">
        <f>N20+O20</f>
        <v>17649.329999999998</v>
      </c>
      <c r="K20" s="61">
        <v>0</v>
      </c>
      <c r="L20" s="82">
        <f>J20-K20</f>
        <v>17649.329999999998</v>
      </c>
      <c r="M20" s="64" t="str">
        <f>Z19</f>
        <v>Договор заключен. Ведутся подготовительные работы подрядной организацией</v>
      </c>
      <c r="N20" s="63">
        <v>4991.3599999999997</v>
      </c>
      <c r="O20" s="61">
        <v>12657.97</v>
      </c>
      <c r="P20" s="61">
        <v>0</v>
      </c>
      <c r="Q20" s="59">
        <v>0</v>
      </c>
      <c r="R20" s="160"/>
      <c r="S20" s="140"/>
      <c r="T20" s="138"/>
      <c r="U20" s="140"/>
      <c r="V20" s="152"/>
      <c r="W20" s="154"/>
      <c r="X20" s="156"/>
      <c r="Y20" s="158"/>
      <c r="Z20" s="148"/>
      <c r="AA20" s="148"/>
      <c r="AB20" s="40" t="s">
        <v>63</v>
      </c>
      <c r="AC20" s="41">
        <f>0.757512402983999/1.12</f>
        <v>0.67635035980714187</v>
      </c>
      <c r="AD20" s="41">
        <f>AC20*1000</f>
        <v>676.3503598071419</v>
      </c>
      <c r="AE20" s="40" t="b">
        <f>AD20=J20</f>
        <v>0</v>
      </c>
      <c r="AG20" s="99"/>
    </row>
    <row r="21" spans="2:33" s="28" customFormat="1" x14ac:dyDescent="0.25">
      <c r="AC21" s="29"/>
      <c r="AD21" s="29"/>
    </row>
    <row r="22" spans="2:33" s="28" customFormat="1" x14ac:dyDescent="0.25">
      <c r="AC22" s="29"/>
      <c r="AD22" s="29"/>
    </row>
    <row r="23" spans="2:33" s="28" customFormat="1" x14ac:dyDescent="0.25">
      <c r="L23" s="100"/>
      <c r="AC23" s="29"/>
      <c r="AD23" s="29"/>
    </row>
    <row r="24" spans="2:33" s="28" customFormat="1" x14ac:dyDescent="0.25">
      <c r="K24" s="91"/>
      <c r="AC24" s="29"/>
      <c r="AD24" s="29"/>
    </row>
    <row r="25" spans="2:33" s="28" customFormat="1" x14ac:dyDescent="0.25">
      <c r="AC25" s="29"/>
      <c r="AD25" s="29"/>
    </row>
    <row r="26" spans="2:33" s="28" customFormat="1" x14ac:dyDescent="0.25">
      <c r="AC26" s="29"/>
      <c r="AD26" s="29"/>
    </row>
    <row r="27" spans="2:33" s="28" customFormat="1" x14ac:dyDescent="0.25">
      <c r="AC27" s="29"/>
      <c r="AD27" s="29"/>
    </row>
    <row r="28" spans="2:33" s="28" customFormat="1" x14ac:dyDescent="0.25">
      <c r="J28" s="66"/>
      <c r="AC28" s="29"/>
      <c r="AD28" s="29"/>
    </row>
    <row r="29" spans="2:33" s="28" customFormat="1" x14ac:dyDescent="0.25">
      <c r="AC29" s="29"/>
      <c r="AD29" s="29"/>
    </row>
    <row r="30" spans="2:33" s="28" customFormat="1" x14ac:dyDescent="0.25">
      <c r="AC30" s="29"/>
      <c r="AD30" s="29"/>
    </row>
    <row r="31" spans="2:33" s="28" customFormat="1" x14ac:dyDescent="0.25">
      <c r="AC31" s="29"/>
      <c r="AD31" s="29"/>
    </row>
    <row r="32" spans="2:33" s="28" customFormat="1" x14ac:dyDescent="0.25">
      <c r="AC32" s="29"/>
      <c r="AD32" s="29"/>
    </row>
    <row r="33" spans="29:30" s="28" customFormat="1" x14ac:dyDescent="0.25">
      <c r="AC33" s="29"/>
      <c r="AD33" s="29"/>
    </row>
    <row r="34" spans="29:30" s="28" customFormat="1" x14ac:dyDescent="0.25">
      <c r="AC34" s="29"/>
      <c r="AD34" s="29"/>
    </row>
    <row r="35" spans="29:30" s="28" customFormat="1" x14ac:dyDescent="0.25">
      <c r="AC35" s="29"/>
      <c r="AD35" s="29"/>
    </row>
    <row r="36" spans="29:30" s="28" customFormat="1" x14ac:dyDescent="0.25">
      <c r="AC36" s="29"/>
      <c r="AD36" s="29"/>
    </row>
    <row r="37" spans="29:30" s="28" customFormat="1" x14ac:dyDescent="0.25">
      <c r="AC37" s="29"/>
      <c r="AD37" s="29"/>
    </row>
    <row r="38" spans="29:30" s="28" customFormat="1" x14ac:dyDescent="0.25">
      <c r="AC38" s="29"/>
      <c r="AD38" s="29"/>
    </row>
    <row r="39" spans="29:30" s="28" customFormat="1" x14ac:dyDescent="0.25">
      <c r="AC39" s="29"/>
      <c r="AD39" s="29"/>
    </row>
    <row r="40" spans="29:30" s="28" customFormat="1" x14ac:dyDescent="0.25">
      <c r="AC40" s="29"/>
      <c r="AD40" s="29"/>
    </row>
    <row r="41" spans="29:30" s="28" customFormat="1" x14ac:dyDescent="0.25">
      <c r="AC41" s="29"/>
      <c r="AD41" s="29"/>
    </row>
    <row r="42" spans="29:30" s="28" customFormat="1" x14ac:dyDescent="0.25">
      <c r="AC42" s="29"/>
      <c r="AD42" s="29"/>
    </row>
    <row r="43" spans="29:30" s="28" customFormat="1" x14ac:dyDescent="0.25">
      <c r="AC43" s="29"/>
      <c r="AD43" s="29"/>
    </row>
    <row r="44" spans="29:30" s="28" customFormat="1" x14ac:dyDescent="0.25">
      <c r="AC44" s="29"/>
      <c r="AD44" s="29"/>
    </row>
    <row r="45" spans="29:30" s="28" customFormat="1" x14ac:dyDescent="0.25">
      <c r="AC45" s="29"/>
      <c r="AD45" s="29"/>
    </row>
    <row r="46" spans="29:30" s="28" customFormat="1" x14ac:dyDescent="0.25">
      <c r="AC46" s="29"/>
      <c r="AD46" s="29"/>
    </row>
    <row r="47" spans="29:30" s="28" customFormat="1" x14ac:dyDescent="0.25">
      <c r="AC47" s="29"/>
      <c r="AD47" s="29"/>
    </row>
    <row r="48" spans="29:30" s="28" customFormat="1" x14ac:dyDescent="0.25">
      <c r="AC48" s="29"/>
      <c r="AD48" s="29"/>
    </row>
    <row r="49" spans="29:30" s="28" customFormat="1" x14ac:dyDescent="0.25">
      <c r="AC49" s="29"/>
      <c r="AD49" s="29"/>
    </row>
    <row r="50" spans="29:30" s="28" customFormat="1" x14ac:dyDescent="0.25">
      <c r="AC50" s="29"/>
      <c r="AD50" s="29"/>
    </row>
    <row r="51" spans="29:30" s="28" customFormat="1" x14ac:dyDescent="0.25">
      <c r="AC51" s="29"/>
      <c r="AD51" s="29"/>
    </row>
    <row r="52" spans="29:30" s="28" customFormat="1" x14ac:dyDescent="0.25">
      <c r="AC52" s="29"/>
      <c r="AD52" s="29"/>
    </row>
    <row r="53" spans="29:30" s="28" customFormat="1" x14ac:dyDescent="0.25">
      <c r="AC53" s="29"/>
      <c r="AD53" s="29"/>
    </row>
    <row r="54" spans="29:30" s="28" customFormat="1" x14ac:dyDescent="0.25">
      <c r="AC54" s="29"/>
      <c r="AD54" s="29"/>
    </row>
    <row r="55" spans="29:30" s="28" customFormat="1" x14ac:dyDescent="0.25">
      <c r="AC55" s="29"/>
      <c r="AD55" s="29"/>
    </row>
    <row r="56" spans="29:30" s="28" customFormat="1" x14ac:dyDescent="0.25">
      <c r="AC56" s="29"/>
      <c r="AD56" s="29"/>
    </row>
    <row r="57" spans="29:30" s="28" customFormat="1" x14ac:dyDescent="0.25">
      <c r="AC57" s="29"/>
      <c r="AD57" s="29"/>
    </row>
    <row r="58" spans="29:30" s="28" customFormat="1" x14ac:dyDescent="0.25">
      <c r="AC58" s="29"/>
      <c r="AD58" s="29"/>
    </row>
    <row r="59" spans="29:30" s="28" customFormat="1" x14ac:dyDescent="0.25">
      <c r="AC59" s="29"/>
      <c r="AD59" s="29"/>
    </row>
    <row r="60" spans="29:30" s="28" customFormat="1" x14ac:dyDescent="0.25">
      <c r="AC60" s="29"/>
      <c r="AD60" s="29"/>
    </row>
    <row r="61" spans="29:30" s="28" customFormat="1" x14ac:dyDescent="0.25">
      <c r="AC61" s="29"/>
      <c r="AD61" s="29"/>
    </row>
    <row r="62" spans="29:30" s="28" customFormat="1" x14ac:dyDescent="0.25">
      <c r="AC62" s="29"/>
      <c r="AD62" s="29"/>
    </row>
    <row r="63" spans="29:30" s="28" customFormat="1" x14ac:dyDescent="0.25">
      <c r="AC63" s="29"/>
      <c r="AD63" s="29"/>
    </row>
    <row r="64" spans="29:30" s="28" customFormat="1" x14ac:dyDescent="0.25">
      <c r="AC64" s="29"/>
      <c r="AD64" s="29"/>
    </row>
    <row r="65" spans="29:30" s="28" customFormat="1" x14ac:dyDescent="0.25">
      <c r="AC65" s="29"/>
      <c r="AD65" s="29"/>
    </row>
    <row r="66" spans="29:30" s="28" customFormat="1" x14ac:dyDescent="0.25">
      <c r="AC66" s="29"/>
      <c r="AD66" s="29"/>
    </row>
    <row r="67" spans="29:30" s="28" customFormat="1" x14ac:dyDescent="0.25">
      <c r="AC67" s="29"/>
      <c r="AD67" s="29"/>
    </row>
    <row r="68" spans="29:30" s="28" customFormat="1" x14ac:dyDescent="0.25">
      <c r="AC68" s="29"/>
      <c r="AD68" s="29"/>
    </row>
    <row r="69" spans="29:30" s="28" customFormat="1" x14ac:dyDescent="0.25">
      <c r="AC69" s="29"/>
      <c r="AD69" s="29"/>
    </row>
    <row r="70" spans="29:30" s="28" customFormat="1" x14ac:dyDescent="0.25">
      <c r="AC70" s="29"/>
      <c r="AD70" s="29"/>
    </row>
    <row r="71" spans="29:30" s="28" customFormat="1" x14ac:dyDescent="0.25">
      <c r="AC71" s="29"/>
      <c r="AD71" s="29"/>
    </row>
    <row r="72" spans="29:30" s="28" customFormat="1" x14ac:dyDescent="0.25">
      <c r="AC72" s="29"/>
      <c r="AD72" s="29"/>
    </row>
    <row r="73" spans="29:30" s="28" customFormat="1" x14ac:dyDescent="0.25">
      <c r="AC73" s="29"/>
      <c r="AD73" s="29"/>
    </row>
    <row r="74" spans="29:30" s="28" customFormat="1" x14ac:dyDescent="0.25">
      <c r="AC74" s="29"/>
      <c r="AD74" s="29"/>
    </row>
    <row r="75" spans="29:30" s="28" customFormat="1" x14ac:dyDescent="0.25">
      <c r="AC75" s="29"/>
      <c r="AD75" s="29"/>
    </row>
    <row r="76" spans="29:30" s="28" customFormat="1" x14ac:dyDescent="0.25">
      <c r="AC76" s="29"/>
      <c r="AD76" s="29"/>
    </row>
    <row r="77" spans="29:30" s="28" customFormat="1" x14ac:dyDescent="0.25">
      <c r="AC77" s="29"/>
      <c r="AD77" s="29"/>
    </row>
    <row r="78" spans="29:30" s="28" customFormat="1" x14ac:dyDescent="0.25">
      <c r="AC78" s="29"/>
      <c r="AD78" s="29"/>
    </row>
    <row r="79" spans="29:30" s="28" customFormat="1" x14ac:dyDescent="0.25">
      <c r="AC79" s="29"/>
      <c r="AD79" s="29"/>
    </row>
    <row r="80" spans="29:30" s="28" customFormat="1" x14ac:dyDescent="0.25">
      <c r="AC80" s="29"/>
      <c r="AD80" s="29"/>
    </row>
    <row r="81" spans="29:30" s="28" customFormat="1" x14ac:dyDescent="0.25">
      <c r="AC81" s="29"/>
      <c r="AD81" s="29"/>
    </row>
    <row r="82" spans="29:30" s="28" customFormat="1" x14ac:dyDescent="0.25">
      <c r="AC82" s="29"/>
      <c r="AD82" s="29"/>
    </row>
    <row r="83" spans="29:30" s="28" customFormat="1" x14ac:dyDescent="0.25">
      <c r="AC83" s="29"/>
      <c r="AD83" s="29"/>
    </row>
    <row r="84" spans="29:30" s="28" customFormat="1" x14ac:dyDescent="0.25">
      <c r="AC84" s="29"/>
      <c r="AD84" s="29"/>
    </row>
    <row r="85" spans="29:30" s="28" customFormat="1" x14ac:dyDescent="0.25">
      <c r="AC85" s="29"/>
      <c r="AD85" s="29"/>
    </row>
    <row r="86" spans="29:30" s="28" customFormat="1" x14ac:dyDescent="0.25">
      <c r="AC86" s="29"/>
      <c r="AD86" s="29"/>
    </row>
    <row r="87" spans="29:30" s="28" customFormat="1" x14ac:dyDescent="0.25">
      <c r="AC87" s="29"/>
      <c r="AD87" s="29"/>
    </row>
    <row r="88" spans="29:30" s="28" customFormat="1" x14ac:dyDescent="0.25">
      <c r="AC88" s="29"/>
      <c r="AD88" s="29"/>
    </row>
    <row r="89" spans="29:30" s="28" customFormat="1" x14ac:dyDescent="0.25">
      <c r="AC89" s="29"/>
      <c r="AD89" s="29"/>
    </row>
    <row r="90" spans="29:30" s="28" customFormat="1" x14ac:dyDescent="0.25">
      <c r="AC90" s="29"/>
      <c r="AD90" s="29"/>
    </row>
    <row r="91" spans="29:30" s="28" customFormat="1" x14ac:dyDescent="0.25">
      <c r="AC91" s="29"/>
      <c r="AD91" s="29"/>
    </row>
    <row r="92" spans="29:30" s="28" customFormat="1" x14ac:dyDescent="0.25">
      <c r="AC92" s="29"/>
      <c r="AD92" s="29"/>
    </row>
    <row r="93" spans="29:30" s="28" customFormat="1" x14ac:dyDescent="0.25">
      <c r="AC93" s="29"/>
      <c r="AD93" s="29"/>
    </row>
    <row r="94" spans="29:30" s="28" customFormat="1" x14ac:dyDescent="0.25">
      <c r="AC94" s="29"/>
      <c r="AD94" s="29"/>
    </row>
    <row r="95" spans="29:30" s="28" customFormat="1" x14ac:dyDescent="0.25">
      <c r="AC95" s="29"/>
      <c r="AD95" s="29"/>
    </row>
    <row r="96" spans="29:30" s="28" customFormat="1" x14ac:dyDescent="0.25">
      <c r="AC96" s="29"/>
      <c r="AD96" s="29"/>
    </row>
    <row r="97" spans="29:30" s="28" customFormat="1" x14ac:dyDescent="0.25">
      <c r="AC97" s="29"/>
      <c r="AD97" s="29"/>
    </row>
    <row r="98" spans="29:30" s="28" customFormat="1" x14ac:dyDescent="0.25">
      <c r="AC98" s="29"/>
      <c r="AD98" s="29"/>
    </row>
    <row r="99" spans="29:30" s="28" customFormat="1" x14ac:dyDescent="0.25">
      <c r="AC99" s="29"/>
      <c r="AD99" s="29"/>
    </row>
    <row r="100" spans="29:30" s="28" customFormat="1" x14ac:dyDescent="0.25">
      <c r="AC100" s="29"/>
      <c r="AD100" s="29"/>
    </row>
    <row r="101" spans="29:30" s="28" customFormat="1" x14ac:dyDescent="0.25">
      <c r="AC101" s="29"/>
      <c r="AD101" s="29"/>
    </row>
    <row r="102" spans="29:30" s="28" customFormat="1" x14ac:dyDescent="0.25">
      <c r="AC102" s="29"/>
      <c r="AD102" s="29"/>
    </row>
    <row r="103" spans="29:30" s="28" customFormat="1" x14ac:dyDescent="0.25">
      <c r="AC103" s="29"/>
      <c r="AD103" s="29"/>
    </row>
    <row r="104" spans="29:30" s="28" customFormat="1" x14ac:dyDescent="0.25">
      <c r="AC104" s="29"/>
      <c r="AD104" s="29"/>
    </row>
    <row r="105" spans="29:30" s="28" customFormat="1" x14ac:dyDescent="0.25">
      <c r="AC105" s="29"/>
      <c r="AD105" s="29"/>
    </row>
    <row r="106" spans="29:30" s="28" customFormat="1" x14ac:dyDescent="0.25">
      <c r="AC106" s="29"/>
      <c r="AD106" s="29"/>
    </row>
    <row r="107" spans="29:30" s="28" customFormat="1" x14ac:dyDescent="0.25">
      <c r="AC107" s="29"/>
      <c r="AD107" s="29"/>
    </row>
    <row r="108" spans="29:30" s="28" customFormat="1" x14ac:dyDescent="0.25">
      <c r="AC108" s="29"/>
      <c r="AD108" s="29"/>
    </row>
    <row r="109" spans="29:30" s="28" customFormat="1" x14ac:dyDescent="0.25">
      <c r="AC109" s="29"/>
      <c r="AD109" s="29"/>
    </row>
    <row r="110" spans="29:30" s="28" customFormat="1" x14ac:dyDescent="0.25">
      <c r="AC110" s="29"/>
      <c r="AD110" s="29"/>
    </row>
    <row r="111" spans="29:30" s="28" customFormat="1" x14ac:dyDescent="0.25">
      <c r="AC111" s="29"/>
      <c r="AD111" s="29"/>
    </row>
    <row r="112" spans="29:30" s="28" customFormat="1" x14ac:dyDescent="0.25">
      <c r="AC112" s="29"/>
      <c r="AD112" s="29"/>
    </row>
    <row r="113" spans="29:30" s="28" customFormat="1" x14ac:dyDescent="0.25">
      <c r="AC113" s="29"/>
      <c r="AD113" s="29"/>
    </row>
    <row r="114" spans="29:30" s="28" customFormat="1" x14ac:dyDescent="0.25">
      <c r="AC114" s="29"/>
      <c r="AD114" s="29"/>
    </row>
    <row r="115" spans="29:30" s="28" customFormat="1" x14ac:dyDescent="0.25">
      <c r="AC115" s="29"/>
      <c r="AD115" s="29"/>
    </row>
    <row r="116" spans="29:30" s="28" customFormat="1" x14ac:dyDescent="0.25">
      <c r="AC116" s="29"/>
      <c r="AD116" s="29"/>
    </row>
    <row r="117" spans="29:30" s="28" customFormat="1" x14ac:dyDescent="0.25">
      <c r="AC117" s="29"/>
      <c r="AD117" s="29"/>
    </row>
    <row r="118" spans="29:30" s="28" customFormat="1" x14ac:dyDescent="0.25">
      <c r="AC118" s="29"/>
      <c r="AD118" s="29"/>
    </row>
    <row r="119" spans="29:30" s="28" customFormat="1" x14ac:dyDescent="0.25">
      <c r="AC119" s="29"/>
      <c r="AD119" s="29"/>
    </row>
    <row r="120" spans="29:30" s="28" customFormat="1" x14ac:dyDescent="0.25">
      <c r="AC120" s="29"/>
      <c r="AD120" s="29"/>
    </row>
    <row r="121" spans="29:30" s="28" customFormat="1" x14ac:dyDescent="0.25">
      <c r="AC121" s="29"/>
      <c r="AD121" s="29"/>
    </row>
    <row r="122" spans="29:30" s="28" customFormat="1" x14ac:dyDescent="0.25">
      <c r="AC122" s="29"/>
      <c r="AD122" s="29"/>
    </row>
    <row r="123" spans="29:30" s="28" customFormat="1" x14ac:dyDescent="0.25">
      <c r="AC123" s="29"/>
      <c r="AD123" s="29"/>
    </row>
    <row r="124" spans="29:30" s="28" customFormat="1" x14ac:dyDescent="0.25">
      <c r="AC124" s="29"/>
      <c r="AD124" s="29"/>
    </row>
    <row r="125" spans="29:30" s="28" customFormat="1" x14ac:dyDescent="0.25">
      <c r="AC125" s="29"/>
      <c r="AD125" s="29"/>
    </row>
    <row r="126" spans="29:30" s="28" customFormat="1" x14ac:dyDescent="0.25">
      <c r="AC126" s="29"/>
      <c r="AD126" s="29"/>
    </row>
    <row r="127" spans="29:30" s="28" customFormat="1" x14ac:dyDescent="0.25">
      <c r="AC127" s="29"/>
      <c r="AD127" s="29"/>
    </row>
    <row r="128" spans="29:30" s="28" customFormat="1" x14ac:dyDescent="0.25">
      <c r="AC128" s="29"/>
      <c r="AD128" s="29"/>
    </row>
    <row r="129" spans="29:30" s="28" customFormat="1" x14ac:dyDescent="0.25">
      <c r="AC129" s="29"/>
      <c r="AD129" s="29"/>
    </row>
    <row r="130" spans="29:30" s="28" customFormat="1" x14ac:dyDescent="0.25">
      <c r="AC130" s="29"/>
      <c r="AD130" s="29"/>
    </row>
    <row r="131" spans="29:30" s="28" customFormat="1" x14ac:dyDescent="0.25">
      <c r="AC131" s="29"/>
      <c r="AD131" s="29"/>
    </row>
    <row r="132" spans="29:30" s="28" customFormat="1" x14ac:dyDescent="0.25">
      <c r="AC132" s="29"/>
      <c r="AD132" s="29"/>
    </row>
    <row r="133" spans="29:30" s="28" customFormat="1" x14ac:dyDescent="0.25">
      <c r="AC133" s="29"/>
      <c r="AD133" s="29"/>
    </row>
    <row r="134" spans="29:30" s="28" customFormat="1" x14ac:dyDescent="0.25">
      <c r="AC134" s="29"/>
      <c r="AD134" s="29"/>
    </row>
    <row r="135" spans="29:30" s="28" customFormat="1" x14ac:dyDescent="0.25">
      <c r="AC135" s="29"/>
      <c r="AD135" s="29"/>
    </row>
    <row r="136" spans="29:30" s="28" customFormat="1" x14ac:dyDescent="0.25">
      <c r="AC136" s="29"/>
      <c r="AD136" s="29"/>
    </row>
    <row r="137" spans="29:30" s="28" customFormat="1" x14ac:dyDescent="0.25">
      <c r="AC137" s="29"/>
      <c r="AD137" s="29"/>
    </row>
    <row r="138" spans="29:30" s="28" customFormat="1" x14ac:dyDescent="0.25">
      <c r="AC138" s="29"/>
      <c r="AD138" s="29"/>
    </row>
    <row r="139" spans="29:30" s="28" customFormat="1" x14ac:dyDescent="0.25">
      <c r="AC139" s="29"/>
      <c r="AD139" s="29"/>
    </row>
    <row r="140" spans="29:30" s="28" customFormat="1" x14ac:dyDescent="0.25">
      <c r="AC140" s="29"/>
      <c r="AD140" s="29"/>
    </row>
    <row r="141" spans="29:30" s="28" customFormat="1" x14ac:dyDescent="0.25">
      <c r="AC141" s="29"/>
      <c r="AD141" s="29"/>
    </row>
    <row r="142" spans="29:30" s="28" customFormat="1" x14ac:dyDescent="0.25">
      <c r="AC142" s="29"/>
      <c r="AD142" s="29"/>
    </row>
    <row r="143" spans="29:30" s="28" customFormat="1" x14ac:dyDescent="0.25">
      <c r="AC143" s="29"/>
      <c r="AD143" s="29"/>
    </row>
    <row r="144" spans="29:30" s="28" customFormat="1" x14ac:dyDescent="0.25">
      <c r="AC144" s="29"/>
      <c r="AD144" s="29"/>
    </row>
    <row r="145" spans="29:30" s="28" customFormat="1" x14ac:dyDescent="0.25">
      <c r="AC145" s="29"/>
      <c r="AD145" s="29"/>
    </row>
    <row r="146" spans="29:30" s="28" customFormat="1" x14ac:dyDescent="0.25">
      <c r="AC146" s="29"/>
      <c r="AD146" s="29"/>
    </row>
    <row r="147" spans="29:30" s="28" customFormat="1" x14ac:dyDescent="0.25">
      <c r="AC147" s="29"/>
      <c r="AD147" s="29"/>
    </row>
    <row r="148" spans="29:30" s="28" customFormat="1" x14ac:dyDescent="0.25">
      <c r="AC148" s="29"/>
      <c r="AD148" s="29"/>
    </row>
    <row r="149" spans="29:30" s="28" customFormat="1" x14ac:dyDescent="0.25">
      <c r="AC149" s="29"/>
      <c r="AD149" s="29"/>
    </row>
    <row r="150" spans="29:30" s="28" customFormat="1" x14ac:dyDescent="0.25">
      <c r="AC150" s="29"/>
      <c r="AD150" s="29"/>
    </row>
    <row r="151" spans="29:30" s="28" customFormat="1" x14ac:dyDescent="0.25">
      <c r="AC151" s="29"/>
      <c r="AD151" s="29"/>
    </row>
    <row r="152" spans="29:30" s="28" customFormat="1" x14ac:dyDescent="0.25">
      <c r="AC152" s="29"/>
      <c r="AD152" s="29"/>
    </row>
    <row r="153" spans="29:30" s="28" customFormat="1" x14ac:dyDescent="0.25">
      <c r="AC153" s="29"/>
      <c r="AD153" s="29"/>
    </row>
    <row r="154" spans="29:30" s="28" customFormat="1" x14ac:dyDescent="0.25">
      <c r="AC154" s="29"/>
      <c r="AD154" s="29"/>
    </row>
    <row r="155" spans="29:30" s="28" customFormat="1" x14ac:dyDescent="0.25">
      <c r="AC155" s="29"/>
      <c r="AD155" s="29"/>
    </row>
    <row r="156" spans="29:30" s="28" customFormat="1" x14ac:dyDescent="0.25">
      <c r="AC156" s="29"/>
      <c r="AD156" s="29"/>
    </row>
    <row r="157" spans="29:30" s="28" customFormat="1" x14ac:dyDescent="0.25">
      <c r="AC157" s="29"/>
      <c r="AD157" s="29"/>
    </row>
    <row r="158" spans="29:30" s="28" customFormat="1" x14ac:dyDescent="0.25">
      <c r="AC158" s="29"/>
      <c r="AD158" s="29"/>
    </row>
    <row r="159" spans="29:30" s="28" customFormat="1" x14ac:dyDescent="0.25">
      <c r="AC159" s="29"/>
      <c r="AD159" s="29"/>
    </row>
    <row r="160" spans="29:30" s="28" customFormat="1" x14ac:dyDescent="0.25">
      <c r="AC160" s="29"/>
      <c r="AD160" s="29"/>
    </row>
    <row r="161" spans="29:30" s="28" customFormat="1" x14ac:dyDescent="0.25">
      <c r="AC161" s="29"/>
      <c r="AD161" s="29"/>
    </row>
    <row r="162" spans="29:30" s="28" customFormat="1" x14ac:dyDescent="0.25">
      <c r="AC162" s="29"/>
      <c r="AD162" s="29"/>
    </row>
    <row r="163" spans="29:30" s="28" customFormat="1" x14ac:dyDescent="0.25">
      <c r="AC163" s="29"/>
      <c r="AD163" s="29"/>
    </row>
    <row r="164" spans="29:30" s="28" customFormat="1" x14ac:dyDescent="0.25">
      <c r="AC164" s="29"/>
      <c r="AD164" s="29"/>
    </row>
    <row r="165" spans="29:30" s="28" customFormat="1" x14ac:dyDescent="0.25">
      <c r="AC165" s="29"/>
      <c r="AD165" s="29"/>
    </row>
    <row r="166" spans="29:30" s="28" customFormat="1" x14ac:dyDescent="0.25">
      <c r="AC166" s="29"/>
      <c r="AD166" s="29"/>
    </row>
    <row r="167" spans="29:30" s="28" customFormat="1" x14ac:dyDescent="0.25">
      <c r="AC167" s="29"/>
      <c r="AD167" s="29"/>
    </row>
    <row r="168" spans="29:30" s="28" customFormat="1" x14ac:dyDescent="0.25">
      <c r="AC168" s="29"/>
      <c r="AD168" s="29"/>
    </row>
    <row r="169" spans="29:30" s="28" customFormat="1" x14ac:dyDescent="0.25">
      <c r="AC169" s="29"/>
      <c r="AD169" s="29"/>
    </row>
  </sheetData>
  <mergeCells count="42">
    <mergeCell ref="Z19:Z20"/>
    <mergeCell ref="AA19:AA20"/>
    <mergeCell ref="B19:B20"/>
    <mergeCell ref="J8:M8"/>
    <mergeCell ref="B9:AA9"/>
    <mergeCell ref="B10:AA10"/>
    <mergeCell ref="B11:AA11"/>
    <mergeCell ref="B14:B17"/>
    <mergeCell ref="C14:H14"/>
    <mergeCell ref="I14:I17"/>
    <mergeCell ref="J14:M14"/>
    <mergeCell ref="N14:Q14"/>
    <mergeCell ref="R14:Y14"/>
    <mergeCell ref="Z14:Z17"/>
    <mergeCell ref="AA14:AA17"/>
    <mergeCell ref="C15:C17"/>
    <mergeCell ref="D15:D17"/>
    <mergeCell ref="E15:E17"/>
    <mergeCell ref="F15:G15"/>
    <mergeCell ref="C19:C20"/>
    <mergeCell ref="N15:O16"/>
    <mergeCell ref="P15:P17"/>
    <mergeCell ref="J15:J17"/>
    <mergeCell ref="K15:K17"/>
    <mergeCell ref="L15:L17"/>
    <mergeCell ref="M15:M17"/>
    <mergeCell ref="V19:V20"/>
    <mergeCell ref="W19:W20"/>
    <mergeCell ref="X19:X20"/>
    <mergeCell ref="Y19:Y20"/>
    <mergeCell ref="F16:F17"/>
    <mergeCell ref="G16:G17"/>
    <mergeCell ref="X15:Y16"/>
    <mergeCell ref="Q15:Q17"/>
    <mergeCell ref="R15:S16"/>
    <mergeCell ref="T15:U16"/>
    <mergeCell ref="V15:W16"/>
    <mergeCell ref="H15:H17"/>
    <mergeCell ref="R19:R20"/>
    <mergeCell ref="S19:S20"/>
    <mergeCell ref="T19:T20"/>
    <mergeCell ref="U19:U2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74"/>
  <sheetViews>
    <sheetView topLeftCell="A12" zoomScale="84" zoomScaleNormal="84" workbookViewId="0">
      <selection activeCell="D20" sqref="D20"/>
    </sheetView>
  </sheetViews>
  <sheetFormatPr defaultRowHeight="15.75" x14ac:dyDescent="0.25"/>
  <cols>
    <col min="1" max="1" width="9.140625" style="1"/>
    <col min="2" max="2" width="7.5703125" style="1" customWidth="1"/>
    <col min="3" max="3" width="19.85546875" style="1" customWidth="1"/>
    <col min="4" max="4" width="44.140625" style="1" customWidth="1"/>
    <col min="5" max="9" width="9.28515625" style="1" bestFit="1" customWidth="1"/>
    <col min="10" max="10" width="13.28515625" style="1" customWidth="1"/>
    <col min="11" max="11" width="13.85546875" style="1" customWidth="1"/>
    <col min="12" max="12" width="11.7109375" style="1" customWidth="1"/>
    <col min="13" max="13" width="18.140625" style="1" customWidth="1"/>
    <col min="14" max="14" width="11.28515625" style="1" bestFit="1" customWidth="1"/>
    <col min="15" max="15" width="12.42578125" style="1" bestFit="1" customWidth="1"/>
    <col min="16" max="17" width="9.42578125" style="1" bestFit="1" customWidth="1"/>
    <col min="18" max="25" width="9.140625" style="1" customWidth="1"/>
    <col min="26" max="26" width="23.140625" style="1" customWidth="1"/>
    <col min="27" max="27" width="30" style="1" customWidth="1"/>
    <col min="28" max="28" width="12.140625" style="1" customWidth="1"/>
    <col min="29" max="30" width="12.140625" style="4" customWidth="1"/>
    <col min="31" max="31" width="9.28515625" style="1" bestFit="1" customWidth="1"/>
    <col min="32" max="16384" width="9.140625" style="1"/>
  </cols>
  <sheetData>
    <row r="1" spans="2:27" x14ac:dyDescent="0.25">
      <c r="J1" s="6"/>
      <c r="N1" s="6"/>
      <c r="O1" s="6"/>
      <c r="Z1" s="2"/>
      <c r="AA1" s="3" t="s">
        <v>25</v>
      </c>
    </row>
    <row r="2" spans="2:27" x14ac:dyDescent="0.25">
      <c r="AA2" s="5" t="s">
        <v>26</v>
      </c>
    </row>
    <row r="3" spans="2:27" x14ac:dyDescent="0.25">
      <c r="AA3" s="7" t="s">
        <v>27</v>
      </c>
    </row>
    <row r="4" spans="2:27" x14ac:dyDescent="0.25">
      <c r="J4" s="6"/>
      <c r="AA4" s="3" t="s">
        <v>28</v>
      </c>
    </row>
    <row r="6" spans="2:27" x14ac:dyDescent="0.25">
      <c r="AA6" s="3" t="s">
        <v>29</v>
      </c>
    </row>
    <row r="7" spans="2:27" x14ac:dyDescent="0.25">
      <c r="AA7" s="3"/>
    </row>
    <row r="8" spans="2:27" x14ac:dyDescent="0.25">
      <c r="K8" s="92" t="s">
        <v>30</v>
      </c>
      <c r="N8" s="92"/>
      <c r="AA8" s="3"/>
    </row>
    <row r="9" spans="2:27" x14ac:dyDescent="0.25">
      <c r="B9" s="136" t="s">
        <v>74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</row>
    <row r="10" spans="2:27" x14ac:dyDescent="0.25">
      <c r="B10" s="143" t="s">
        <v>41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</row>
    <row r="11" spans="2:27" x14ac:dyDescent="0.25">
      <c r="B11" s="136" t="s">
        <v>31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</row>
    <row r="12" spans="2:27" x14ac:dyDescent="0.25">
      <c r="AA12" s="3"/>
    </row>
    <row r="13" spans="2:27" ht="16.5" thickBot="1" x14ac:dyDescent="0.3">
      <c r="J13" s="93">
        <v>32144.774000000001</v>
      </c>
      <c r="K13" s="9">
        <f>J19</f>
        <v>32144.78</v>
      </c>
      <c r="L13" s="9">
        <f>J13-K13</f>
        <v>-5.9999999975843821E-3</v>
      </c>
      <c r="N13" s="6"/>
      <c r="O13" s="6"/>
    </row>
    <row r="14" spans="2:27" ht="75.75" customHeight="1" thickBot="1" x14ac:dyDescent="0.3">
      <c r="B14" s="129" t="s">
        <v>0</v>
      </c>
      <c r="C14" s="133" t="s">
        <v>1</v>
      </c>
      <c r="D14" s="134"/>
      <c r="E14" s="134"/>
      <c r="F14" s="134"/>
      <c r="G14" s="134"/>
      <c r="H14" s="135"/>
      <c r="I14" s="126" t="s">
        <v>2</v>
      </c>
      <c r="J14" s="134" t="s">
        <v>3</v>
      </c>
      <c r="K14" s="134"/>
      <c r="L14" s="134"/>
      <c r="M14" s="135"/>
      <c r="N14" s="133" t="s">
        <v>12</v>
      </c>
      <c r="O14" s="134"/>
      <c r="P14" s="134"/>
      <c r="Q14" s="135"/>
      <c r="R14" s="133" t="s">
        <v>13</v>
      </c>
      <c r="S14" s="134"/>
      <c r="T14" s="134"/>
      <c r="U14" s="134"/>
      <c r="V14" s="134"/>
      <c r="W14" s="134"/>
      <c r="X14" s="134"/>
      <c r="Y14" s="135"/>
      <c r="Z14" s="126" t="s">
        <v>14</v>
      </c>
      <c r="AA14" s="126" t="s">
        <v>15</v>
      </c>
    </row>
    <row r="15" spans="2:27" ht="99" customHeight="1" thickBot="1" x14ac:dyDescent="0.3">
      <c r="B15" s="145"/>
      <c r="C15" s="126" t="s">
        <v>4</v>
      </c>
      <c r="D15" s="126" t="s">
        <v>5</v>
      </c>
      <c r="E15" s="126" t="s">
        <v>6</v>
      </c>
      <c r="F15" s="133" t="s">
        <v>7</v>
      </c>
      <c r="G15" s="135"/>
      <c r="H15" s="126" t="s">
        <v>8</v>
      </c>
      <c r="I15" s="127"/>
      <c r="J15" s="130" t="s">
        <v>93</v>
      </c>
      <c r="K15" s="126" t="s">
        <v>94</v>
      </c>
      <c r="L15" s="126" t="s">
        <v>95</v>
      </c>
      <c r="M15" s="126" t="s">
        <v>9</v>
      </c>
      <c r="N15" s="129" t="s">
        <v>16</v>
      </c>
      <c r="O15" s="130"/>
      <c r="P15" s="126" t="s">
        <v>17</v>
      </c>
      <c r="Q15" s="126" t="s">
        <v>18</v>
      </c>
      <c r="R15" s="129" t="s">
        <v>19</v>
      </c>
      <c r="S15" s="130"/>
      <c r="T15" s="129" t="s">
        <v>20</v>
      </c>
      <c r="U15" s="130"/>
      <c r="V15" s="129" t="s">
        <v>21</v>
      </c>
      <c r="W15" s="130"/>
      <c r="X15" s="129" t="s">
        <v>22</v>
      </c>
      <c r="Y15" s="130"/>
      <c r="Z15" s="127"/>
      <c r="AA15" s="127"/>
    </row>
    <row r="16" spans="2:27" ht="72" customHeight="1" thickBot="1" x14ac:dyDescent="0.3">
      <c r="B16" s="145"/>
      <c r="C16" s="127"/>
      <c r="D16" s="127"/>
      <c r="E16" s="127"/>
      <c r="F16" s="126" t="s">
        <v>10</v>
      </c>
      <c r="G16" s="126" t="s">
        <v>11</v>
      </c>
      <c r="H16" s="127"/>
      <c r="I16" s="127"/>
      <c r="J16" s="146"/>
      <c r="K16" s="127"/>
      <c r="L16" s="127"/>
      <c r="M16" s="127"/>
      <c r="N16" s="131"/>
      <c r="O16" s="132"/>
      <c r="P16" s="127"/>
      <c r="Q16" s="127"/>
      <c r="R16" s="131"/>
      <c r="S16" s="132"/>
      <c r="T16" s="131"/>
      <c r="U16" s="132"/>
      <c r="V16" s="131"/>
      <c r="W16" s="132"/>
      <c r="X16" s="131"/>
      <c r="Y16" s="132"/>
      <c r="Z16" s="127"/>
      <c r="AA16" s="127"/>
    </row>
    <row r="17" spans="2:31" ht="63.75" thickBot="1" x14ac:dyDescent="0.3">
      <c r="B17" s="131"/>
      <c r="C17" s="128"/>
      <c r="D17" s="128"/>
      <c r="E17" s="128"/>
      <c r="F17" s="128"/>
      <c r="G17" s="128"/>
      <c r="H17" s="128"/>
      <c r="I17" s="128"/>
      <c r="J17" s="132"/>
      <c r="K17" s="128"/>
      <c r="L17" s="128"/>
      <c r="M17" s="128"/>
      <c r="N17" s="10" t="s">
        <v>96</v>
      </c>
      <c r="O17" s="10" t="s">
        <v>97</v>
      </c>
      <c r="P17" s="128"/>
      <c r="Q17" s="128"/>
      <c r="R17" s="10" t="s">
        <v>23</v>
      </c>
      <c r="S17" s="11" t="s">
        <v>24</v>
      </c>
      <c r="T17" s="11" t="s">
        <v>23</v>
      </c>
      <c r="U17" s="11" t="s">
        <v>24</v>
      </c>
      <c r="V17" s="11" t="s">
        <v>10</v>
      </c>
      <c r="W17" s="11" t="s">
        <v>11</v>
      </c>
      <c r="X17" s="11" t="s">
        <v>23</v>
      </c>
      <c r="Y17" s="11" t="s">
        <v>24</v>
      </c>
      <c r="Z17" s="128"/>
      <c r="AA17" s="128"/>
    </row>
    <row r="18" spans="2:31" ht="16.5" thickBot="1" x14ac:dyDescent="0.3">
      <c r="B18" s="12">
        <v>1</v>
      </c>
      <c r="C18" s="15">
        <v>2</v>
      </c>
      <c r="D18" s="14">
        <v>3</v>
      </c>
      <c r="E18" s="14">
        <v>4</v>
      </c>
      <c r="F18" s="14">
        <v>5</v>
      </c>
      <c r="G18" s="14">
        <v>6</v>
      </c>
      <c r="H18" s="14">
        <v>7</v>
      </c>
      <c r="I18" s="15">
        <v>8</v>
      </c>
      <c r="J18" s="14">
        <v>9</v>
      </c>
      <c r="K18" s="14">
        <v>10</v>
      </c>
      <c r="L18" s="14">
        <v>11</v>
      </c>
      <c r="M18" s="14">
        <v>12</v>
      </c>
      <c r="N18" s="15">
        <v>13</v>
      </c>
      <c r="O18" s="14">
        <v>14</v>
      </c>
      <c r="P18" s="14">
        <v>15</v>
      </c>
      <c r="Q18" s="14">
        <v>16</v>
      </c>
      <c r="R18" s="15">
        <v>17</v>
      </c>
      <c r="S18" s="14">
        <v>18</v>
      </c>
      <c r="T18" s="14">
        <v>19</v>
      </c>
      <c r="U18" s="14">
        <v>20</v>
      </c>
      <c r="V18" s="14">
        <v>21</v>
      </c>
      <c r="W18" s="14">
        <v>22</v>
      </c>
      <c r="X18" s="14">
        <v>23</v>
      </c>
      <c r="Y18" s="14">
        <v>24</v>
      </c>
      <c r="Z18" s="15">
        <v>25</v>
      </c>
      <c r="AA18" s="15">
        <v>26</v>
      </c>
    </row>
    <row r="19" spans="2:31" s="28" customFormat="1" x14ac:dyDescent="0.25">
      <c r="B19" s="69"/>
      <c r="C19" s="161" t="s">
        <v>69</v>
      </c>
      <c r="D19" s="96" t="s">
        <v>33</v>
      </c>
      <c r="E19" s="16"/>
      <c r="F19" s="20"/>
      <c r="G19" s="21"/>
      <c r="H19" s="22"/>
      <c r="I19" s="16"/>
      <c r="J19" s="23">
        <f>SUM(J20:J25)</f>
        <v>32144.78</v>
      </c>
      <c r="K19" s="101">
        <f>SUM(K20:K25)</f>
        <v>0</v>
      </c>
      <c r="L19" s="23">
        <f>SUM(L20:L25)</f>
        <v>32144.78</v>
      </c>
      <c r="M19" s="21"/>
      <c r="N19" s="26">
        <f>SUM(N20:N25)</f>
        <v>9034.26</v>
      </c>
      <c r="O19" s="25">
        <f>SUM(O20:O25)</f>
        <v>23110.519999999997</v>
      </c>
      <c r="P19" s="24">
        <f>SUM(P20:P25)</f>
        <v>0</v>
      </c>
      <c r="Q19" s="24">
        <f>SUM(Q20:Q25)</f>
        <v>0</v>
      </c>
      <c r="R19" s="20"/>
      <c r="S19" s="97"/>
      <c r="T19" s="20"/>
      <c r="U19" s="21"/>
      <c r="V19" s="20"/>
      <c r="W19" s="21"/>
      <c r="X19" s="27"/>
      <c r="Y19" s="21"/>
      <c r="Z19" s="16"/>
      <c r="AA19" s="16"/>
      <c r="AC19" s="29"/>
      <c r="AD19" s="29"/>
    </row>
    <row r="20" spans="2:31" s="28" customFormat="1" ht="72.75" customHeight="1" x14ac:dyDescent="0.25">
      <c r="B20" s="102">
        <v>1</v>
      </c>
      <c r="C20" s="172"/>
      <c r="D20" s="103" t="s">
        <v>134</v>
      </c>
      <c r="E20" s="43" t="s">
        <v>36</v>
      </c>
      <c r="F20" s="46">
        <v>1</v>
      </c>
      <c r="G20" s="104">
        <v>0</v>
      </c>
      <c r="H20" s="105">
        <v>2022</v>
      </c>
      <c r="I20" s="103"/>
      <c r="J20" s="106">
        <v>2454.3630446428601</v>
      </c>
      <c r="K20" s="107">
        <v>0</v>
      </c>
      <c r="L20" s="36">
        <f t="shared" ref="L20:L25" si="0">J20-K20</f>
        <v>2454.3630446428601</v>
      </c>
      <c r="M20" s="108" t="str">
        <f t="shared" ref="M20:M25" si="1">Z20</f>
        <v>Ведутся процедуры по закупке товаров, работ и услуг</v>
      </c>
      <c r="N20" s="109">
        <v>0</v>
      </c>
      <c r="O20" s="107">
        <f>J20</f>
        <v>2454.3630446428601</v>
      </c>
      <c r="P20" s="107">
        <v>0</v>
      </c>
      <c r="Q20" s="108">
        <v>0</v>
      </c>
      <c r="R20" s="46" t="s">
        <v>47</v>
      </c>
      <c r="S20" s="110" t="s">
        <v>47</v>
      </c>
      <c r="T20" s="46" t="s">
        <v>47</v>
      </c>
      <c r="U20" s="52" t="s">
        <v>47</v>
      </c>
      <c r="V20" s="169">
        <v>9.0999999999999998E-2</v>
      </c>
      <c r="W20" s="166">
        <v>9.0999999999999998E-2</v>
      </c>
      <c r="X20" s="164">
        <v>6</v>
      </c>
      <c r="Y20" s="163">
        <v>7</v>
      </c>
      <c r="Z20" s="103" t="s">
        <v>64</v>
      </c>
      <c r="AA20" s="43" t="s">
        <v>65</v>
      </c>
      <c r="AC20" s="29"/>
      <c r="AD20" s="29"/>
    </row>
    <row r="21" spans="2:31" s="28" customFormat="1" ht="90.75" customHeight="1" x14ac:dyDescent="0.25">
      <c r="B21" s="73">
        <v>2</v>
      </c>
      <c r="C21" s="172"/>
      <c r="D21" s="43" t="s">
        <v>75</v>
      </c>
      <c r="E21" s="43" t="s">
        <v>34</v>
      </c>
      <c r="F21" s="46">
        <v>1</v>
      </c>
      <c r="G21" s="52">
        <v>0</v>
      </c>
      <c r="H21" s="105">
        <v>2022</v>
      </c>
      <c r="I21" s="43"/>
      <c r="J21" s="48">
        <f>11383107/1.12/1000</f>
        <v>10163.488392857142</v>
      </c>
      <c r="K21" s="49">
        <v>0</v>
      </c>
      <c r="L21" s="36">
        <f t="shared" si="0"/>
        <v>10163.488392857142</v>
      </c>
      <c r="M21" s="108" t="str">
        <f t="shared" si="1"/>
        <v>Договор заключен. Ведутся работы подрядной организацией.</v>
      </c>
      <c r="N21" s="50">
        <v>0</v>
      </c>
      <c r="O21" s="49">
        <f>J21</f>
        <v>10163.488392857142</v>
      </c>
      <c r="P21" s="49">
        <v>0</v>
      </c>
      <c r="Q21" s="47">
        <v>0</v>
      </c>
      <c r="R21" s="46" t="s">
        <v>47</v>
      </c>
      <c r="S21" s="110" t="s">
        <v>47</v>
      </c>
      <c r="T21" s="46" t="s">
        <v>47</v>
      </c>
      <c r="U21" s="52" t="s">
        <v>47</v>
      </c>
      <c r="V21" s="170"/>
      <c r="W21" s="167"/>
      <c r="X21" s="165"/>
      <c r="Y21" s="139"/>
      <c r="Z21" s="43" t="s">
        <v>132</v>
      </c>
      <c r="AA21" s="43" t="s">
        <v>65</v>
      </c>
      <c r="AB21" s="53" t="s">
        <v>60</v>
      </c>
      <c r="AC21" s="54">
        <f>'[2]ИП 21_на 01.07.'!$BI$166/1.12</f>
        <v>21.080690639951786</v>
      </c>
      <c r="AD21" s="54">
        <f>AC21*1000</f>
        <v>21080.690639951787</v>
      </c>
      <c r="AE21" s="53" t="b">
        <f>J21=AD21</f>
        <v>0</v>
      </c>
    </row>
    <row r="22" spans="2:31" s="28" customFormat="1" ht="88.5" customHeight="1" x14ac:dyDescent="0.25">
      <c r="B22" s="73">
        <v>3</v>
      </c>
      <c r="C22" s="172"/>
      <c r="D22" s="43" t="s">
        <v>76</v>
      </c>
      <c r="E22" s="43" t="s">
        <v>34</v>
      </c>
      <c r="F22" s="46">
        <v>1</v>
      </c>
      <c r="G22" s="52">
        <v>0</v>
      </c>
      <c r="H22" s="105">
        <v>2022</v>
      </c>
      <c r="I22" s="43"/>
      <c r="J22" s="48">
        <f>(19246960+843200+168000)/1.12/1000</f>
        <v>18087.642857142855</v>
      </c>
      <c r="K22" s="49">
        <v>0</v>
      </c>
      <c r="L22" s="49">
        <f t="shared" si="0"/>
        <v>18087.642857142855</v>
      </c>
      <c r="M22" s="108" t="str">
        <f t="shared" si="1"/>
        <v>Договор заключен. Ведутся работы подрядной организацией.</v>
      </c>
      <c r="N22" s="111">
        <v>9034.26</v>
      </c>
      <c r="O22" s="49">
        <v>9053.3828571428548</v>
      </c>
      <c r="P22" s="49">
        <v>0</v>
      </c>
      <c r="Q22" s="47">
        <v>0</v>
      </c>
      <c r="R22" s="46" t="s">
        <v>47</v>
      </c>
      <c r="S22" s="110" t="s">
        <v>47</v>
      </c>
      <c r="T22" s="46" t="s">
        <v>47</v>
      </c>
      <c r="U22" s="52" t="s">
        <v>47</v>
      </c>
      <c r="V22" s="170"/>
      <c r="W22" s="167"/>
      <c r="X22" s="165"/>
      <c r="Y22" s="139"/>
      <c r="Z22" s="43" t="s">
        <v>132</v>
      </c>
      <c r="AA22" s="43" t="s">
        <v>65</v>
      </c>
      <c r="AB22" s="53" t="s">
        <v>61</v>
      </c>
      <c r="AC22" s="54">
        <f>'[2]ИП 21_на 01.07.'!$BI$169/1.12</f>
        <v>9.7408500000000018</v>
      </c>
      <c r="AD22" s="54">
        <f>AC22*1000</f>
        <v>9740.8500000000022</v>
      </c>
      <c r="AE22" s="53" t="b">
        <f>J22=AD22</f>
        <v>0</v>
      </c>
    </row>
    <row r="23" spans="2:31" s="28" customFormat="1" ht="81.75" customHeight="1" x14ac:dyDescent="0.25">
      <c r="B23" s="112">
        <v>4</v>
      </c>
      <c r="C23" s="172"/>
      <c r="D23" s="113" t="s">
        <v>127</v>
      </c>
      <c r="E23" s="43" t="s">
        <v>34</v>
      </c>
      <c r="F23" s="46">
        <v>1</v>
      </c>
      <c r="G23" s="114">
        <v>0</v>
      </c>
      <c r="H23" s="105">
        <v>2022</v>
      </c>
      <c r="I23" s="113"/>
      <c r="J23" s="115">
        <f>1300000/1.12/1000</f>
        <v>1160.7142857142858</v>
      </c>
      <c r="K23" s="116">
        <v>0</v>
      </c>
      <c r="L23" s="49">
        <f t="shared" si="0"/>
        <v>1160.7142857142858</v>
      </c>
      <c r="M23" s="108" t="str">
        <f t="shared" si="1"/>
        <v>Договор заключен. Ведутся работы подрядной организацией.</v>
      </c>
      <c r="N23" s="117">
        <v>0</v>
      </c>
      <c r="O23" s="116">
        <f>J23</f>
        <v>1160.7142857142858</v>
      </c>
      <c r="P23" s="116">
        <v>0</v>
      </c>
      <c r="Q23" s="118">
        <v>0</v>
      </c>
      <c r="R23" s="46" t="s">
        <v>47</v>
      </c>
      <c r="S23" s="110" t="s">
        <v>47</v>
      </c>
      <c r="T23" s="46" t="s">
        <v>47</v>
      </c>
      <c r="U23" s="52" t="s">
        <v>47</v>
      </c>
      <c r="V23" s="170"/>
      <c r="W23" s="167"/>
      <c r="X23" s="165"/>
      <c r="Y23" s="139"/>
      <c r="Z23" s="43" t="s">
        <v>132</v>
      </c>
      <c r="AA23" s="43" t="s">
        <v>65</v>
      </c>
      <c r="AB23" s="53"/>
      <c r="AC23" s="54"/>
      <c r="AD23" s="54"/>
      <c r="AE23" s="53"/>
    </row>
    <row r="24" spans="2:31" s="28" customFormat="1" ht="80.25" customHeight="1" x14ac:dyDescent="0.25">
      <c r="B24" s="112">
        <v>5</v>
      </c>
      <c r="C24" s="172"/>
      <c r="D24" s="113" t="s">
        <v>77</v>
      </c>
      <c r="E24" s="113" t="s">
        <v>35</v>
      </c>
      <c r="F24" s="119">
        <v>2</v>
      </c>
      <c r="G24" s="114">
        <v>0</v>
      </c>
      <c r="H24" s="105">
        <v>2022</v>
      </c>
      <c r="I24" s="113"/>
      <c r="J24" s="115">
        <f>240000/1.12/1000</f>
        <v>214.28571428571425</v>
      </c>
      <c r="K24" s="116">
        <v>0</v>
      </c>
      <c r="L24" s="49">
        <f t="shared" si="0"/>
        <v>214.28571428571425</v>
      </c>
      <c r="M24" s="108" t="str">
        <f t="shared" si="1"/>
        <v>Договор заключен. Ожидается поставка ТМЦ.</v>
      </c>
      <c r="N24" s="117">
        <v>0</v>
      </c>
      <c r="O24" s="116">
        <f>J24</f>
        <v>214.28571428571425</v>
      </c>
      <c r="P24" s="116">
        <v>0</v>
      </c>
      <c r="Q24" s="118">
        <v>0</v>
      </c>
      <c r="R24" s="46" t="s">
        <v>47</v>
      </c>
      <c r="S24" s="110" t="s">
        <v>47</v>
      </c>
      <c r="T24" s="46" t="s">
        <v>47</v>
      </c>
      <c r="U24" s="52" t="s">
        <v>47</v>
      </c>
      <c r="V24" s="170"/>
      <c r="W24" s="167"/>
      <c r="X24" s="165"/>
      <c r="Y24" s="139"/>
      <c r="Z24" s="113" t="s">
        <v>129</v>
      </c>
      <c r="AA24" s="43" t="s">
        <v>65</v>
      </c>
      <c r="AB24" s="53"/>
      <c r="AC24" s="54"/>
      <c r="AD24" s="54"/>
      <c r="AE24" s="53"/>
    </row>
    <row r="25" spans="2:31" s="28" customFormat="1" ht="77.25" customHeight="1" thickBot="1" x14ac:dyDescent="0.3">
      <c r="B25" s="80">
        <v>6</v>
      </c>
      <c r="C25" s="162"/>
      <c r="D25" s="55" t="s">
        <v>78</v>
      </c>
      <c r="E25" s="55" t="s">
        <v>35</v>
      </c>
      <c r="F25" s="58">
        <v>1</v>
      </c>
      <c r="G25" s="65">
        <v>0</v>
      </c>
      <c r="H25" s="56">
        <v>2022</v>
      </c>
      <c r="I25" s="55"/>
      <c r="J25" s="60">
        <f>71999.99/1.12/1000</f>
        <v>64.285705357142859</v>
      </c>
      <c r="K25" s="61">
        <v>0</v>
      </c>
      <c r="L25" s="61">
        <f t="shared" si="0"/>
        <v>64.285705357142859</v>
      </c>
      <c r="M25" s="59" t="str">
        <f t="shared" si="1"/>
        <v>Договор заключен. Ожидается поставка ТМЦ.</v>
      </c>
      <c r="N25" s="83">
        <v>0</v>
      </c>
      <c r="O25" s="61">
        <f>J25</f>
        <v>64.285705357142859</v>
      </c>
      <c r="P25" s="61">
        <v>0</v>
      </c>
      <c r="Q25" s="59">
        <v>0</v>
      </c>
      <c r="R25" s="58" t="s">
        <v>47</v>
      </c>
      <c r="S25" s="120" t="s">
        <v>47</v>
      </c>
      <c r="T25" s="58" t="s">
        <v>47</v>
      </c>
      <c r="U25" s="65" t="s">
        <v>47</v>
      </c>
      <c r="V25" s="171"/>
      <c r="W25" s="168"/>
      <c r="X25" s="160"/>
      <c r="Y25" s="140"/>
      <c r="Z25" s="55" t="s">
        <v>129</v>
      </c>
      <c r="AA25" s="43" t="s">
        <v>65</v>
      </c>
      <c r="AB25" s="53" t="s">
        <v>62</v>
      </c>
      <c r="AC25" s="54">
        <f>'[2]ИП 21_на 01.07.'!$BI$168/1.12</f>
        <v>1.3228828095785714</v>
      </c>
      <c r="AD25" s="54">
        <f>AC25*1000</f>
        <v>1322.8828095785714</v>
      </c>
      <c r="AE25" s="53" t="b">
        <f>J25=AD25</f>
        <v>0</v>
      </c>
    </row>
    <row r="26" spans="2:31" s="28" customFormat="1" x14ac:dyDescent="0.25">
      <c r="AC26" s="29"/>
      <c r="AD26" s="29"/>
    </row>
    <row r="27" spans="2:31" s="28" customFormat="1" x14ac:dyDescent="0.25">
      <c r="AC27" s="29"/>
      <c r="AD27" s="29"/>
    </row>
    <row r="28" spans="2:31" s="28" customFormat="1" x14ac:dyDescent="0.25">
      <c r="AC28" s="29"/>
      <c r="AD28" s="29"/>
    </row>
    <row r="29" spans="2:31" s="28" customFormat="1" x14ac:dyDescent="0.25">
      <c r="K29" s="66">
        <v>36.002156999999997</v>
      </c>
      <c r="L29" s="66">
        <f>K29/1.12</f>
        <v>32.144783035714276</v>
      </c>
      <c r="AC29" s="29"/>
      <c r="AD29" s="29"/>
    </row>
    <row r="30" spans="2:31" s="28" customFormat="1" x14ac:dyDescent="0.25">
      <c r="AC30" s="29"/>
      <c r="AD30" s="29"/>
    </row>
    <row r="31" spans="2:31" s="28" customFormat="1" x14ac:dyDescent="0.25">
      <c r="AC31" s="29"/>
      <c r="AD31" s="29"/>
    </row>
    <row r="32" spans="2:31" s="28" customFormat="1" x14ac:dyDescent="0.25">
      <c r="AC32" s="29"/>
      <c r="AD32" s="29"/>
    </row>
    <row r="33" spans="29:30" s="28" customFormat="1" x14ac:dyDescent="0.25">
      <c r="AC33" s="29"/>
      <c r="AD33" s="29"/>
    </row>
    <row r="34" spans="29:30" s="28" customFormat="1" x14ac:dyDescent="0.25">
      <c r="AC34" s="29"/>
      <c r="AD34" s="29"/>
    </row>
    <row r="35" spans="29:30" s="28" customFormat="1" x14ac:dyDescent="0.25">
      <c r="AC35" s="29"/>
      <c r="AD35" s="29"/>
    </row>
    <row r="36" spans="29:30" s="28" customFormat="1" x14ac:dyDescent="0.25">
      <c r="AC36" s="29"/>
      <c r="AD36" s="29"/>
    </row>
    <row r="37" spans="29:30" s="28" customFormat="1" x14ac:dyDescent="0.25">
      <c r="AC37" s="29"/>
      <c r="AD37" s="29"/>
    </row>
    <row r="38" spans="29:30" s="28" customFormat="1" x14ac:dyDescent="0.25">
      <c r="AC38" s="29"/>
      <c r="AD38" s="29"/>
    </row>
    <row r="39" spans="29:30" s="28" customFormat="1" x14ac:dyDescent="0.25">
      <c r="AC39" s="29"/>
      <c r="AD39" s="29"/>
    </row>
    <row r="40" spans="29:30" s="28" customFormat="1" x14ac:dyDescent="0.25">
      <c r="AC40" s="29"/>
      <c r="AD40" s="29"/>
    </row>
    <row r="41" spans="29:30" s="28" customFormat="1" x14ac:dyDescent="0.25">
      <c r="AC41" s="29"/>
      <c r="AD41" s="29"/>
    </row>
    <row r="42" spans="29:30" s="28" customFormat="1" x14ac:dyDescent="0.25">
      <c r="AC42" s="29"/>
      <c r="AD42" s="29"/>
    </row>
    <row r="43" spans="29:30" s="28" customFormat="1" x14ac:dyDescent="0.25">
      <c r="AC43" s="29"/>
      <c r="AD43" s="29"/>
    </row>
    <row r="44" spans="29:30" s="28" customFormat="1" x14ac:dyDescent="0.25">
      <c r="AC44" s="29"/>
      <c r="AD44" s="29"/>
    </row>
    <row r="45" spans="29:30" s="28" customFormat="1" x14ac:dyDescent="0.25">
      <c r="AC45" s="29"/>
      <c r="AD45" s="29"/>
    </row>
    <row r="46" spans="29:30" s="28" customFormat="1" x14ac:dyDescent="0.25">
      <c r="AC46" s="29"/>
      <c r="AD46" s="29"/>
    </row>
    <row r="47" spans="29:30" s="28" customFormat="1" x14ac:dyDescent="0.25">
      <c r="AC47" s="29"/>
      <c r="AD47" s="29"/>
    </row>
    <row r="48" spans="29:30" s="28" customFormat="1" x14ac:dyDescent="0.25">
      <c r="AC48" s="29"/>
      <c r="AD48" s="29"/>
    </row>
    <row r="49" spans="29:30" s="28" customFormat="1" x14ac:dyDescent="0.25">
      <c r="AC49" s="29"/>
      <c r="AD49" s="29"/>
    </row>
    <row r="50" spans="29:30" s="28" customFormat="1" x14ac:dyDescent="0.25">
      <c r="AC50" s="29"/>
      <c r="AD50" s="29"/>
    </row>
    <row r="51" spans="29:30" s="28" customFormat="1" x14ac:dyDescent="0.25">
      <c r="AC51" s="29"/>
      <c r="AD51" s="29"/>
    </row>
    <row r="52" spans="29:30" s="28" customFormat="1" x14ac:dyDescent="0.25">
      <c r="AC52" s="29"/>
      <c r="AD52" s="29"/>
    </row>
    <row r="53" spans="29:30" s="28" customFormat="1" x14ac:dyDescent="0.25">
      <c r="AC53" s="29"/>
      <c r="AD53" s="29"/>
    </row>
    <row r="54" spans="29:30" s="28" customFormat="1" x14ac:dyDescent="0.25">
      <c r="AC54" s="29"/>
      <c r="AD54" s="29"/>
    </row>
    <row r="55" spans="29:30" s="28" customFormat="1" x14ac:dyDescent="0.25">
      <c r="AC55" s="29"/>
      <c r="AD55" s="29"/>
    </row>
    <row r="56" spans="29:30" s="28" customFormat="1" x14ac:dyDescent="0.25">
      <c r="AC56" s="29"/>
      <c r="AD56" s="29"/>
    </row>
    <row r="57" spans="29:30" s="28" customFormat="1" x14ac:dyDescent="0.25">
      <c r="AC57" s="29"/>
      <c r="AD57" s="29"/>
    </row>
    <row r="58" spans="29:30" s="28" customFormat="1" x14ac:dyDescent="0.25">
      <c r="AC58" s="29"/>
      <c r="AD58" s="29"/>
    </row>
    <row r="59" spans="29:30" s="28" customFormat="1" x14ac:dyDescent="0.25">
      <c r="AC59" s="29"/>
      <c r="AD59" s="29"/>
    </row>
    <row r="60" spans="29:30" s="28" customFormat="1" x14ac:dyDescent="0.25">
      <c r="AC60" s="29"/>
      <c r="AD60" s="29"/>
    </row>
    <row r="61" spans="29:30" s="28" customFormat="1" x14ac:dyDescent="0.25">
      <c r="AC61" s="29"/>
      <c r="AD61" s="29"/>
    </row>
    <row r="62" spans="29:30" s="28" customFormat="1" x14ac:dyDescent="0.25">
      <c r="AC62" s="29"/>
      <c r="AD62" s="29"/>
    </row>
    <row r="63" spans="29:30" s="28" customFormat="1" x14ac:dyDescent="0.25">
      <c r="AC63" s="29"/>
      <c r="AD63" s="29"/>
    </row>
    <row r="64" spans="29:30" s="28" customFormat="1" x14ac:dyDescent="0.25">
      <c r="AC64" s="29"/>
      <c r="AD64" s="29"/>
    </row>
    <row r="65" spans="29:30" s="28" customFormat="1" x14ac:dyDescent="0.25">
      <c r="AC65" s="29"/>
      <c r="AD65" s="29"/>
    </row>
    <row r="66" spans="29:30" s="28" customFormat="1" x14ac:dyDescent="0.25">
      <c r="AC66" s="29"/>
      <c r="AD66" s="29"/>
    </row>
    <row r="67" spans="29:30" s="28" customFormat="1" x14ac:dyDescent="0.25">
      <c r="AC67" s="29"/>
      <c r="AD67" s="29"/>
    </row>
    <row r="68" spans="29:30" s="28" customFormat="1" x14ac:dyDescent="0.25">
      <c r="AC68" s="29"/>
      <c r="AD68" s="29"/>
    </row>
    <row r="69" spans="29:30" s="28" customFormat="1" x14ac:dyDescent="0.25">
      <c r="AC69" s="29"/>
      <c r="AD69" s="29"/>
    </row>
    <row r="70" spans="29:30" s="28" customFormat="1" x14ac:dyDescent="0.25">
      <c r="AC70" s="29"/>
      <c r="AD70" s="29"/>
    </row>
    <row r="71" spans="29:30" s="28" customFormat="1" x14ac:dyDescent="0.25">
      <c r="AC71" s="29"/>
      <c r="AD71" s="29"/>
    </row>
    <row r="72" spans="29:30" s="28" customFormat="1" x14ac:dyDescent="0.25">
      <c r="AC72" s="29"/>
      <c r="AD72" s="29"/>
    </row>
    <row r="73" spans="29:30" s="28" customFormat="1" x14ac:dyDescent="0.25">
      <c r="AC73" s="29"/>
      <c r="AD73" s="29"/>
    </row>
    <row r="74" spans="29:30" s="28" customFormat="1" x14ac:dyDescent="0.25">
      <c r="AC74" s="29"/>
      <c r="AD74" s="29"/>
    </row>
    <row r="75" spans="29:30" s="28" customFormat="1" x14ac:dyDescent="0.25">
      <c r="AC75" s="29"/>
      <c r="AD75" s="29"/>
    </row>
    <row r="76" spans="29:30" s="28" customFormat="1" x14ac:dyDescent="0.25">
      <c r="AC76" s="29"/>
      <c r="AD76" s="29"/>
    </row>
    <row r="77" spans="29:30" s="28" customFormat="1" x14ac:dyDescent="0.25">
      <c r="AC77" s="29"/>
      <c r="AD77" s="29"/>
    </row>
    <row r="78" spans="29:30" s="28" customFormat="1" x14ac:dyDescent="0.25">
      <c r="AC78" s="29"/>
      <c r="AD78" s="29"/>
    </row>
    <row r="79" spans="29:30" s="28" customFormat="1" x14ac:dyDescent="0.25">
      <c r="AC79" s="29"/>
      <c r="AD79" s="29"/>
    </row>
    <row r="80" spans="29:30" s="28" customFormat="1" x14ac:dyDescent="0.25">
      <c r="AC80" s="29"/>
      <c r="AD80" s="29"/>
    </row>
    <row r="81" spans="29:30" s="28" customFormat="1" x14ac:dyDescent="0.25">
      <c r="AC81" s="29"/>
      <c r="AD81" s="29"/>
    </row>
    <row r="82" spans="29:30" s="28" customFormat="1" x14ac:dyDescent="0.25">
      <c r="AC82" s="29"/>
      <c r="AD82" s="29"/>
    </row>
    <row r="83" spans="29:30" s="28" customFormat="1" x14ac:dyDescent="0.25">
      <c r="AC83" s="29"/>
      <c r="AD83" s="29"/>
    </row>
    <row r="84" spans="29:30" s="28" customFormat="1" x14ac:dyDescent="0.25">
      <c r="AC84" s="29"/>
      <c r="AD84" s="29"/>
    </row>
    <row r="85" spans="29:30" s="28" customFormat="1" x14ac:dyDescent="0.25">
      <c r="AC85" s="29"/>
      <c r="AD85" s="29"/>
    </row>
    <row r="86" spans="29:30" s="28" customFormat="1" x14ac:dyDescent="0.25">
      <c r="AC86" s="29"/>
      <c r="AD86" s="29"/>
    </row>
    <row r="87" spans="29:30" s="28" customFormat="1" x14ac:dyDescent="0.25">
      <c r="AC87" s="29"/>
      <c r="AD87" s="29"/>
    </row>
    <row r="88" spans="29:30" s="28" customFormat="1" x14ac:dyDescent="0.25">
      <c r="AC88" s="29"/>
      <c r="AD88" s="29"/>
    </row>
    <row r="89" spans="29:30" s="28" customFormat="1" x14ac:dyDescent="0.25">
      <c r="AC89" s="29"/>
      <c r="AD89" s="29"/>
    </row>
    <row r="90" spans="29:30" s="28" customFormat="1" x14ac:dyDescent="0.25">
      <c r="AC90" s="29"/>
      <c r="AD90" s="29"/>
    </row>
    <row r="91" spans="29:30" s="28" customFormat="1" x14ac:dyDescent="0.25">
      <c r="AC91" s="29"/>
      <c r="AD91" s="29"/>
    </row>
    <row r="92" spans="29:30" s="28" customFormat="1" x14ac:dyDescent="0.25">
      <c r="AC92" s="29"/>
      <c r="AD92" s="29"/>
    </row>
    <row r="93" spans="29:30" s="28" customFormat="1" x14ac:dyDescent="0.25">
      <c r="AC93" s="29"/>
      <c r="AD93" s="29"/>
    </row>
    <row r="94" spans="29:30" s="28" customFormat="1" x14ac:dyDescent="0.25">
      <c r="AC94" s="29"/>
      <c r="AD94" s="29"/>
    </row>
    <row r="95" spans="29:30" s="28" customFormat="1" x14ac:dyDescent="0.25">
      <c r="AC95" s="29"/>
      <c r="AD95" s="29"/>
    </row>
    <row r="96" spans="29:30" s="28" customFormat="1" x14ac:dyDescent="0.25">
      <c r="AC96" s="29"/>
      <c r="AD96" s="29"/>
    </row>
    <row r="97" spans="29:30" s="28" customFormat="1" x14ac:dyDescent="0.25">
      <c r="AC97" s="29"/>
      <c r="AD97" s="29"/>
    </row>
    <row r="98" spans="29:30" s="28" customFormat="1" x14ac:dyDescent="0.25">
      <c r="AC98" s="29"/>
      <c r="AD98" s="29"/>
    </row>
    <row r="99" spans="29:30" s="28" customFormat="1" x14ac:dyDescent="0.25">
      <c r="AC99" s="29"/>
      <c r="AD99" s="29"/>
    </row>
    <row r="100" spans="29:30" s="28" customFormat="1" x14ac:dyDescent="0.25">
      <c r="AC100" s="29"/>
      <c r="AD100" s="29"/>
    </row>
    <row r="101" spans="29:30" s="28" customFormat="1" x14ac:dyDescent="0.25">
      <c r="AC101" s="29"/>
      <c r="AD101" s="29"/>
    </row>
    <row r="102" spans="29:30" s="28" customFormat="1" x14ac:dyDescent="0.25">
      <c r="AC102" s="29"/>
      <c r="AD102" s="29"/>
    </row>
    <row r="103" spans="29:30" s="28" customFormat="1" x14ac:dyDescent="0.25">
      <c r="AC103" s="29"/>
      <c r="AD103" s="29"/>
    </row>
    <row r="104" spans="29:30" s="28" customFormat="1" x14ac:dyDescent="0.25">
      <c r="AC104" s="29"/>
      <c r="AD104" s="29"/>
    </row>
    <row r="105" spans="29:30" s="28" customFormat="1" x14ac:dyDescent="0.25">
      <c r="AC105" s="29"/>
      <c r="AD105" s="29"/>
    </row>
    <row r="106" spans="29:30" s="28" customFormat="1" x14ac:dyDescent="0.25">
      <c r="AC106" s="29"/>
      <c r="AD106" s="29"/>
    </row>
    <row r="107" spans="29:30" s="28" customFormat="1" x14ac:dyDescent="0.25">
      <c r="AC107" s="29"/>
      <c r="AD107" s="29"/>
    </row>
    <row r="108" spans="29:30" s="28" customFormat="1" x14ac:dyDescent="0.25">
      <c r="AC108" s="29"/>
      <c r="AD108" s="29"/>
    </row>
    <row r="109" spans="29:30" s="28" customFormat="1" x14ac:dyDescent="0.25">
      <c r="AC109" s="29"/>
      <c r="AD109" s="29"/>
    </row>
    <row r="110" spans="29:30" s="28" customFormat="1" x14ac:dyDescent="0.25">
      <c r="AC110" s="29"/>
      <c r="AD110" s="29"/>
    </row>
    <row r="111" spans="29:30" s="28" customFormat="1" x14ac:dyDescent="0.25">
      <c r="AC111" s="29"/>
      <c r="AD111" s="29"/>
    </row>
    <row r="112" spans="29:30" s="28" customFormat="1" x14ac:dyDescent="0.25">
      <c r="AC112" s="29"/>
      <c r="AD112" s="29"/>
    </row>
    <row r="113" spans="29:30" s="28" customFormat="1" x14ac:dyDescent="0.25">
      <c r="AC113" s="29"/>
      <c r="AD113" s="29"/>
    </row>
    <row r="114" spans="29:30" s="28" customFormat="1" x14ac:dyDescent="0.25">
      <c r="AC114" s="29"/>
      <c r="AD114" s="29"/>
    </row>
    <row r="115" spans="29:30" s="28" customFormat="1" x14ac:dyDescent="0.25">
      <c r="AC115" s="29"/>
      <c r="AD115" s="29"/>
    </row>
    <row r="116" spans="29:30" s="28" customFormat="1" x14ac:dyDescent="0.25">
      <c r="AC116" s="29"/>
      <c r="AD116" s="29"/>
    </row>
    <row r="117" spans="29:30" s="28" customFormat="1" x14ac:dyDescent="0.25">
      <c r="AC117" s="29"/>
      <c r="AD117" s="29"/>
    </row>
    <row r="118" spans="29:30" s="28" customFormat="1" x14ac:dyDescent="0.25">
      <c r="AC118" s="29"/>
      <c r="AD118" s="29"/>
    </row>
    <row r="119" spans="29:30" s="28" customFormat="1" x14ac:dyDescent="0.25">
      <c r="AC119" s="29"/>
      <c r="AD119" s="29"/>
    </row>
    <row r="120" spans="29:30" s="28" customFormat="1" x14ac:dyDescent="0.25">
      <c r="AC120" s="29"/>
      <c r="AD120" s="29"/>
    </row>
    <row r="121" spans="29:30" s="28" customFormat="1" x14ac:dyDescent="0.25">
      <c r="AC121" s="29"/>
      <c r="AD121" s="29"/>
    </row>
    <row r="122" spans="29:30" s="28" customFormat="1" x14ac:dyDescent="0.25">
      <c r="AC122" s="29"/>
      <c r="AD122" s="29"/>
    </row>
    <row r="123" spans="29:30" s="28" customFormat="1" x14ac:dyDescent="0.25">
      <c r="AC123" s="29"/>
      <c r="AD123" s="29"/>
    </row>
    <row r="124" spans="29:30" s="28" customFormat="1" x14ac:dyDescent="0.25">
      <c r="AC124" s="29"/>
      <c r="AD124" s="29"/>
    </row>
    <row r="125" spans="29:30" s="28" customFormat="1" x14ac:dyDescent="0.25">
      <c r="AC125" s="29"/>
      <c r="AD125" s="29"/>
    </row>
    <row r="126" spans="29:30" s="28" customFormat="1" x14ac:dyDescent="0.25">
      <c r="AC126" s="29"/>
      <c r="AD126" s="29"/>
    </row>
    <row r="127" spans="29:30" s="28" customFormat="1" x14ac:dyDescent="0.25">
      <c r="AC127" s="29"/>
      <c r="AD127" s="29"/>
    </row>
    <row r="128" spans="29:30" s="28" customFormat="1" x14ac:dyDescent="0.25">
      <c r="AC128" s="29"/>
      <c r="AD128" s="29"/>
    </row>
    <row r="129" spans="29:30" s="28" customFormat="1" x14ac:dyDescent="0.25">
      <c r="AC129" s="29"/>
      <c r="AD129" s="29"/>
    </row>
    <row r="130" spans="29:30" s="28" customFormat="1" x14ac:dyDescent="0.25">
      <c r="AC130" s="29"/>
      <c r="AD130" s="29"/>
    </row>
    <row r="131" spans="29:30" s="28" customFormat="1" x14ac:dyDescent="0.25">
      <c r="AC131" s="29"/>
      <c r="AD131" s="29"/>
    </row>
    <row r="132" spans="29:30" s="28" customFormat="1" x14ac:dyDescent="0.25">
      <c r="AC132" s="29"/>
      <c r="AD132" s="29"/>
    </row>
    <row r="133" spans="29:30" s="28" customFormat="1" x14ac:dyDescent="0.25">
      <c r="AC133" s="29"/>
      <c r="AD133" s="29"/>
    </row>
    <row r="134" spans="29:30" s="28" customFormat="1" x14ac:dyDescent="0.25">
      <c r="AC134" s="29"/>
      <c r="AD134" s="29"/>
    </row>
    <row r="135" spans="29:30" s="28" customFormat="1" x14ac:dyDescent="0.25">
      <c r="AC135" s="29"/>
      <c r="AD135" s="29"/>
    </row>
    <row r="136" spans="29:30" s="28" customFormat="1" x14ac:dyDescent="0.25">
      <c r="AC136" s="29"/>
      <c r="AD136" s="29"/>
    </row>
    <row r="137" spans="29:30" s="28" customFormat="1" x14ac:dyDescent="0.25">
      <c r="AC137" s="29"/>
      <c r="AD137" s="29"/>
    </row>
    <row r="138" spans="29:30" s="28" customFormat="1" x14ac:dyDescent="0.25">
      <c r="AC138" s="29"/>
      <c r="AD138" s="29"/>
    </row>
    <row r="139" spans="29:30" s="28" customFormat="1" x14ac:dyDescent="0.25">
      <c r="AC139" s="29"/>
      <c r="AD139" s="29"/>
    </row>
    <row r="140" spans="29:30" s="28" customFormat="1" x14ac:dyDescent="0.25">
      <c r="AC140" s="29"/>
      <c r="AD140" s="29"/>
    </row>
    <row r="141" spans="29:30" s="28" customFormat="1" x14ac:dyDescent="0.25">
      <c r="AC141" s="29"/>
      <c r="AD141" s="29"/>
    </row>
    <row r="142" spans="29:30" s="28" customFormat="1" x14ac:dyDescent="0.25">
      <c r="AC142" s="29"/>
      <c r="AD142" s="29"/>
    </row>
    <row r="143" spans="29:30" s="28" customFormat="1" x14ac:dyDescent="0.25">
      <c r="AC143" s="29"/>
      <c r="AD143" s="29"/>
    </row>
    <row r="144" spans="29:30" s="28" customFormat="1" x14ac:dyDescent="0.25">
      <c r="AC144" s="29"/>
      <c r="AD144" s="29"/>
    </row>
    <row r="145" spans="29:30" s="28" customFormat="1" x14ac:dyDescent="0.25">
      <c r="AC145" s="29"/>
      <c r="AD145" s="29"/>
    </row>
    <row r="146" spans="29:30" s="28" customFormat="1" x14ac:dyDescent="0.25">
      <c r="AC146" s="29"/>
      <c r="AD146" s="29"/>
    </row>
    <row r="147" spans="29:30" s="28" customFormat="1" x14ac:dyDescent="0.25">
      <c r="AC147" s="29"/>
      <c r="AD147" s="29"/>
    </row>
    <row r="148" spans="29:30" s="28" customFormat="1" x14ac:dyDescent="0.25">
      <c r="AC148" s="29"/>
      <c r="AD148" s="29"/>
    </row>
    <row r="149" spans="29:30" s="28" customFormat="1" x14ac:dyDescent="0.25">
      <c r="AC149" s="29"/>
      <c r="AD149" s="29"/>
    </row>
    <row r="150" spans="29:30" s="28" customFormat="1" x14ac:dyDescent="0.25">
      <c r="AC150" s="29"/>
      <c r="AD150" s="29"/>
    </row>
    <row r="151" spans="29:30" s="28" customFormat="1" x14ac:dyDescent="0.25">
      <c r="AC151" s="29"/>
      <c r="AD151" s="29"/>
    </row>
    <row r="152" spans="29:30" s="28" customFormat="1" x14ac:dyDescent="0.25">
      <c r="AC152" s="29"/>
      <c r="AD152" s="29"/>
    </row>
    <row r="153" spans="29:30" s="28" customFormat="1" x14ac:dyDescent="0.25">
      <c r="AC153" s="29"/>
      <c r="AD153" s="29"/>
    </row>
    <row r="154" spans="29:30" s="28" customFormat="1" x14ac:dyDescent="0.25">
      <c r="AC154" s="29"/>
      <c r="AD154" s="29"/>
    </row>
    <row r="155" spans="29:30" s="28" customFormat="1" x14ac:dyDescent="0.25">
      <c r="AC155" s="29"/>
      <c r="AD155" s="29"/>
    </row>
    <row r="156" spans="29:30" s="28" customFormat="1" x14ac:dyDescent="0.25">
      <c r="AC156" s="29"/>
      <c r="AD156" s="29"/>
    </row>
    <row r="157" spans="29:30" s="28" customFormat="1" x14ac:dyDescent="0.25">
      <c r="AC157" s="29"/>
      <c r="AD157" s="29"/>
    </row>
    <row r="158" spans="29:30" s="28" customFormat="1" x14ac:dyDescent="0.25">
      <c r="AC158" s="29"/>
      <c r="AD158" s="29"/>
    </row>
    <row r="159" spans="29:30" s="28" customFormat="1" x14ac:dyDescent="0.25">
      <c r="AC159" s="29"/>
      <c r="AD159" s="29"/>
    </row>
    <row r="160" spans="29:30" s="28" customFormat="1" x14ac:dyDescent="0.25">
      <c r="AC160" s="29"/>
      <c r="AD160" s="29"/>
    </row>
    <row r="161" spans="29:30" s="28" customFormat="1" x14ac:dyDescent="0.25">
      <c r="AC161" s="29"/>
      <c r="AD161" s="29"/>
    </row>
    <row r="162" spans="29:30" s="28" customFormat="1" x14ac:dyDescent="0.25">
      <c r="AC162" s="29"/>
      <c r="AD162" s="29"/>
    </row>
    <row r="163" spans="29:30" s="28" customFormat="1" x14ac:dyDescent="0.25">
      <c r="AC163" s="29"/>
      <c r="AD163" s="29"/>
    </row>
    <row r="164" spans="29:30" s="28" customFormat="1" x14ac:dyDescent="0.25">
      <c r="AC164" s="29"/>
      <c r="AD164" s="29"/>
    </row>
    <row r="165" spans="29:30" s="28" customFormat="1" x14ac:dyDescent="0.25">
      <c r="AC165" s="29"/>
      <c r="AD165" s="29"/>
    </row>
    <row r="166" spans="29:30" s="28" customFormat="1" x14ac:dyDescent="0.25">
      <c r="AC166" s="29"/>
      <c r="AD166" s="29"/>
    </row>
    <row r="167" spans="29:30" s="28" customFormat="1" x14ac:dyDescent="0.25">
      <c r="AC167" s="29"/>
      <c r="AD167" s="29"/>
    </row>
    <row r="168" spans="29:30" s="28" customFormat="1" x14ac:dyDescent="0.25">
      <c r="AC168" s="29"/>
      <c r="AD168" s="29"/>
    </row>
    <row r="169" spans="29:30" s="28" customFormat="1" x14ac:dyDescent="0.25">
      <c r="AC169" s="29"/>
      <c r="AD169" s="29"/>
    </row>
    <row r="170" spans="29:30" s="28" customFormat="1" x14ac:dyDescent="0.25">
      <c r="AC170" s="29"/>
      <c r="AD170" s="29"/>
    </row>
    <row r="171" spans="29:30" s="28" customFormat="1" x14ac:dyDescent="0.25">
      <c r="AC171" s="29"/>
      <c r="AD171" s="29"/>
    </row>
    <row r="172" spans="29:30" s="28" customFormat="1" x14ac:dyDescent="0.25">
      <c r="AC172" s="29"/>
      <c r="AD172" s="29"/>
    </row>
    <row r="173" spans="29:30" s="28" customFormat="1" x14ac:dyDescent="0.25">
      <c r="AC173" s="29"/>
      <c r="AD173" s="29"/>
    </row>
    <row r="174" spans="29:30" s="28" customFormat="1" x14ac:dyDescent="0.25">
      <c r="AC174" s="29"/>
      <c r="AD174" s="29"/>
    </row>
  </sheetData>
  <mergeCells count="34">
    <mergeCell ref="B9:AA9"/>
    <mergeCell ref="B10:AA10"/>
    <mergeCell ref="B11:AA11"/>
    <mergeCell ref="B14:B17"/>
    <mergeCell ref="C14:H14"/>
    <mergeCell ref="I14:I17"/>
    <mergeCell ref="J14:M14"/>
    <mergeCell ref="N14:Q14"/>
    <mergeCell ref="R14:Y14"/>
    <mergeCell ref="Z14:Z17"/>
    <mergeCell ref="AA14:AA17"/>
    <mergeCell ref="C15:C17"/>
    <mergeCell ref="D15:D17"/>
    <mergeCell ref="E15:E17"/>
    <mergeCell ref="F15:G15"/>
    <mergeCell ref="H15:H17"/>
    <mergeCell ref="Y20:Y25"/>
    <mergeCell ref="X20:X25"/>
    <mergeCell ref="W20:W25"/>
    <mergeCell ref="V20:V25"/>
    <mergeCell ref="C19:C25"/>
    <mergeCell ref="F16:F17"/>
    <mergeCell ref="G16:G17"/>
    <mergeCell ref="X15:Y16"/>
    <mergeCell ref="Q15:Q17"/>
    <mergeCell ref="R15:S16"/>
    <mergeCell ref="T15:U16"/>
    <mergeCell ref="V15:W16"/>
    <mergeCell ref="N15:O16"/>
    <mergeCell ref="P15:P17"/>
    <mergeCell ref="J15:J17"/>
    <mergeCell ref="K15:K17"/>
    <mergeCell ref="L15:L17"/>
    <mergeCell ref="M15:M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72"/>
  <sheetViews>
    <sheetView topLeftCell="B13" zoomScale="71" zoomScaleNormal="71" workbookViewId="0">
      <selection activeCell="D20" sqref="D20"/>
    </sheetView>
  </sheetViews>
  <sheetFormatPr defaultRowHeight="15.75" x14ac:dyDescent="0.25"/>
  <cols>
    <col min="1" max="2" width="9.140625" style="1"/>
    <col min="3" max="3" width="19.85546875" style="1" customWidth="1"/>
    <col min="4" max="4" width="44.140625" style="1" customWidth="1"/>
    <col min="5" max="7" width="9.140625" style="1"/>
    <col min="8" max="8" width="8.140625" style="1" customWidth="1"/>
    <col min="9" max="9" width="9.140625" style="1"/>
    <col min="10" max="10" width="13.28515625" style="1" customWidth="1"/>
    <col min="11" max="11" width="13.85546875" style="1" customWidth="1"/>
    <col min="12" max="12" width="15.7109375" style="1" customWidth="1"/>
    <col min="13" max="13" width="13.140625" style="1" customWidth="1"/>
    <col min="14" max="14" width="12" style="1" customWidth="1"/>
    <col min="15" max="15" width="14.42578125" style="1" customWidth="1"/>
    <col min="16" max="17" width="9.140625" style="1"/>
    <col min="18" max="25" width="9.140625" style="1" customWidth="1"/>
    <col min="26" max="26" width="21.5703125" style="1" customWidth="1"/>
    <col min="27" max="27" width="31.140625" style="1" customWidth="1"/>
    <col min="28" max="28" width="11.28515625" style="1" customWidth="1"/>
    <col min="29" max="30" width="11.28515625" style="4" customWidth="1"/>
    <col min="31" max="16384" width="9.140625" style="1"/>
  </cols>
  <sheetData>
    <row r="1" spans="2:27" x14ac:dyDescent="0.25">
      <c r="Z1" s="2"/>
      <c r="AA1" s="3" t="s">
        <v>25</v>
      </c>
    </row>
    <row r="2" spans="2:27" x14ac:dyDescent="0.25">
      <c r="AA2" s="5" t="s">
        <v>26</v>
      </c>
    </row>
    <row r="3" spans="2:27" x14ac:dyDescent="0.25">
      <c r="J3" s="6"/>
      <c r="N3" s="6"/>
      <c r="O3" s="6"/>
      <c r="AA3" s="7" t="s">
        <v>27</v>
      </c>
    </row>
    <row r="4" spans="2:27" x14ac:dyDescent="0.25">
      <c r="AA4" s="3" t="s">
        <v>28</v>
      </c>
    </row>
    <row r="5" spans="2:27" x14ac:dyDescent="0.25">
      <c r="J5" s="6"/>
      <c r="N5" s="6"/>
      <c r="O5" s="6"/>
    </row>
    <row r="6" spans="2:27" x14ac:dyDescent="0.25">
      <c r="AA6" s="3" t="s">
        <v>29</v>
      </c>
    </row>
    <row r="7" spans="2:27" x14ac:dyDescent="0.25">
      <c r="AA7" s="3"/>
    </row>
    <row r="8" spans="2:27" x14ac:dyDescent="0.25">
      <c r="K8" s="136" t="s">
        <v>30</v>
      </c>
      <c r="L8" s="136"/>
      <c r="M8" s="136"/>
      <c r="N8" s="136"/>
      <c r="O8" s="136"/>
      <c r="P8" s="136"/>
      <c r="AA8" s="3"/>
    </row>
    <row r="9" spans="2:27" x14ac:dyDescent="0.25">
      <c r="B9" s="136" t="s">
        <v>74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</row>
    <row r="10" spans="2:27" x14ac:dyDescent="0.25">
      <c r="B10" s="143" t="s">
        <v>42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</row>
    <row r="11" spans="2:27" x14ac:dyDescent="0.25">
      <c r="B11" s="136" t="s">
        <v>31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</row>
    <row r="12" spans="2:27" x14ac:dyDescent="0.25">
      <c r="N12" s="6"/>
      <c r="O12" s="6"/>
      <c r="AA12" s="3"/>
    </row>
    <row r="13" spans="2:27" ht="16.5" thickBot="1" x14ac:dyDescent="0.3">
      <c r="J13" s="8">
        <v>11021.81</v>
      </c>
      <c r="K13" s="9">
        <f>J19</f>
        <v>11021.81</v>
      </c>
      <c r="L13" s="9">
        <f>J13-K13</f>
        <v>0</v>
      </c>
      <c r="N13" s="6"/>
      <c r="O13" s="6"/>
    </row>
    <row r="14" spans="2:27" ht="75.75" customHeight="1" thickBot="1" x14ac:dyDescent="0.3">
      <c r="B14" s="129" t="s">
        <v>0</v>
      </c>
      <c r="C14" s="133" t="s">
        <v>1</v>
      </c>
      <c r="D14" s="134"/>
      <c r="E14" s="134"/>
      <c r="F14" s="134"/>
      <c r="G14" s="134"/>
      <c r="H14" s="135"/>
      <c r="I14" s="126" t="s">
        <v>2</v>
      </c>
      <c r="J14" s="134" t="s">
        <v>3</v>
      </c>
      <c r="K14" s="134"/>
      <c r="L14" s="134"/>
      <c r="M14" s="135"/>
      <c r="N14" s="133" t="s">
        <v>12</v>
      </c>
      <c r="O14" s="134"/>
      <c r="P14" s="134"/>
      <c r="Q14" s="135"/>
      <c r="R14" s="133" t="s">
        <v>13</v>
      </c>
      <c r="S14" s="134"/>
      <c r="T14" s="134"/>
      <c r="U14" s="134"/>
      <c r="V14" s="134"/>
      <c r="W14" s="134"/>
      <c r="X14" s="134"/>
      <c r="Y14" s="135"/>
      <c r="Z14" s="126" t="s">
        <v>14</v>
      </c>
      <c r="AA14" s="126" t="s">
        <v>15</v>
      </c>
    </row>
    <row r="15" spans="2:27" ht="99" customHeight="1" thickBot="1" x14ac:dyDescent="0.3">
      <c r="B15" s="145"/>
      <c r="C15" s="126" t="s">
        <v>4</v>
      </c>
      <c r="D15" s="126" t="s">
        <v>5</v>
      </c>
      <c r="E15" s="126" t="s">
        <v>6</v>
      </c>
      <c r="F15" s="133" t="s">
        <v>7</v>
      </c>
      <c r="G15" s="135"/>
      <c r="H15" s="126" t="s">
        <v>8</v>
      </c>
      <c r="I15" s="127"/>
      <c r="J15" s="130" t="s">
        <v>93</v>
      </c>
      <c r="K15" s="126" t="s">
        <v>94</v>
      </c>
      <c r="L15" s="126" t="s">
        <v>95</v>
      </c>
      <c r="M15" s="126" t="s">
        <v>9</v>
      </c>
      <c r="N15" s="129" t="s">
        <v>16</v>
      </c>
      <c r="O15" s="130"/>
      <c r="P15" s="126" t="s">
        <v>17</v>
      </c>
      <c r="Q15" s="126" t="s">
        <v>18</v>
      </c>
      <c r="R15" s="129" t="s">
        <v>19</v>
      </c>
      <c r="S15" s="130"/>
      <c r="T15" s="129" t="s">
        <v>20</v>
      </c>
      <c r="U15" s="130"/>
      <c r="V15" s="129" t="s">
        <v>21</v>
      </c>
      <c r="W15" s="130"/>
      <c r="X15" s="129" t="s">
        <v>22</v>
      </c>
      <c r="Y15" s="130"/>
      <c r="Z15" s="127"/>
      <c r="AA15" s="127"/>
    </row>
    <row r="16" spans="2:27" ht="77.25" customHeight="1" thickBot="1" x14ac:dyDescent="0.3">
      <c r="B16" s="145"/>
      <c r="C16" s="127"/>
      <c r="D16" s="127"/>
      <c r="E16" s="127"/>
      <c r="F16" s="126" t="s">
        <v>10</v>
      </c>
      <c r="G16" s="126" t="s">
        <v>11</v>
      </c>
      <c r="H16" s="127"/>
      <c r="I16" s="127"/>
      <c r="J16" s="146"/>
      <c r="K16" s="127"/>
      <c r="L16" s="127"/>
      <c r="M16" s="127"/>
      <c r="N16" s="131"/>
      <c r="O16" s="132"/>
      <c r="P16" s="127"/>
      <c r="Q16" s="127"/>
      <c r="R16" s="131"/>
      <c r="S16" s="132"/>
      <c r="T16" s="131"/>
      <c r="U16" s="132"/>
      <c r="V16" s="131"/>
      <c r="W16" s="132"/>
      <c r="X16" s="131"/>
      <c r="Y16" s="132"/>
      <c r="Z16" s="127"/>
      <c r="AA16" s="127"/>
    </row>
    <row r="17" spans="2:31" ht="69" customHeight="1" thickBot="1" x14ac:dyDescent="0.3">
      <c r="B17" s="131"/>
      <c r="C17" s="128"/>
      <c r="D17" s="128"/>
      <c r="E17" s="128"/>
      <c r="F17" s="128"/>
      <c r="G17" s="128"/>
      <c r="H17" s="128"/>
      <c r="I17" s="128"/>
      <c r="J17" s="132"/>
      <c r="K17" s="128"/>
      <c r="L17" s="128"/>
      <c r="M17" s="128"/>
      <c r="N17" s="10" t="s">
        <v>96</v>
      </c>
      <c r="O17" s="10" t="s">
        <v>97</v>
      </c>
      <c r="P17" s="128"/>
      <c r="Q17" s="128"/>
      <c r="R17" s="10" t="s">
        <v>23</v>
      </c>
      <c r="S17" s="11" t="s">
        <v>24</v>
      </c>
      <c r="T17" s="11" t="s">
        <v>23</v>
      </c>
      <c r="U17" s="11" t="s">
        <v>24</v>
      </c>
      <c r="V17" s="11" t="s">
        <v>10</v>
      </c>
      <c r="W17" s="11" t="s">
        <v>11</v>
      </c>
      <c r="X17" s="11" t="s">
        <v>23</v>
      </c>
      <c r="Y17" s="11" t="s">
        <v>24</v>
      </c>
      <c r="Z17" s="128"/>
      <c r="AA17" s="128"/>
    </row>
    <row r="18" spans="2:31" ht="16.5" thickBot="1" x14ac:dyDescent="0.3">
      <c r="B18" s="12">
        <v>1</v>
      </c>
      <c r="C18" s="13">
        <v>2</v>
      </c>
      <c r="D18" s="14">
        <v>3</v>
      </c>
      <c r="E18" s="14">
        <v>4</v>
      </c>
      <c r="F18" s="14">
        <v>5</v>
      </c>
      <c r="G18" s="14">
        <v>6</v>
      </c>
      <c r="H18" s="14">
        <v>7</v>
      </c>
      <c r="I18" s="15">
        <v>8</v>
      </c>
      <c r="J18" s="14">
        <v>9</v>
      </c>
      <c r="K18" s="14">
        <v>10</v>
      </c>
      <c r="L18" s="14">
        <v>11</v>
      </c>
      <c r="M18" s="14">
        <v>12</v>
      </c>
      <c r="N18" s="15">
        <v>13</v>
      </c>
      <c r="O18" s="14">
        <v>14</v>
      </c>
      <c r="P18" s="14">
        <v>15</v>
      </c>
      <c r="Q18" s="14">
        <v>16</v>
      </c>
      <c r="R18" s="15">
        <v>17</v>
      </c>
      <c r="S18" s="14">
        <v>18</v>
      </c>
      <c r="T18" s="14">
        <v>19</v>
      </c>
      <c r="U18" s="14">
        <v>20</v>
      </c>
      <c r="V18" s="14">
        <v>21</v>
      </c>
      <c r="W18" s="14">
        <v>22</v>
      </c>
      <c r="X18" s="14">
        <v>23</v>
      </c>
      <c r="Y18" s="14">
        <v>24</v>
      </c>
      <c r="Z18" s="15">
        <v>25</v>
      </c>
      <c r="AA18" s="15">
        <v>26</v>
      </c>
    </row>
    <row r="19" spans="2:31" s="28" customFormat="1" ht="12.75" customHeight="1" x14ac:dyDescent="0.25">
      <c r="B19" s="16"/>
      <c r="C19" s="17"/>
      <c r="D19" s="18" t="s">
        <v>33</v>
      </c>
      <c r="E19" s="19"/>
      <c r="F19" s="20"/>
      <c r="G19" s="21"/>
      <c r="H19" s="22"/>
      <c r="I19" s="16"/>
      <c r="J19" s="23">
        <f>SUM(J20:J23)</f>
        <v>11021.81</v>
      </c>
      <c r="K19" s="24">
        <f>SUM(K20:K23)</f>
        <v>0</v>
      </c>
      <c r="L19" s="25">
        <f>SUM(L20:L23)</f>
        <v>11021.81</v>
      </c>
      <c r="M19" s="21"/>
      <c r="N19" s="26">
        <f>SUM(N20:N23)</f>
        <v>3262.63</v>
      </c>
      <c r="O19" s="25">
        <f>SUM(O20:O23)</f>
        <v>7759.1799999999994</v>
      </c>
      <c r="P19" s="24">
        <f>SUM(P20:P23)</f>
        <v>0</v>
      </c>
      <c r="Q19" s="24">
        <f>SUM(Q20:Q23)</f>
        <v>0</v>
      </c>
      <c r="R19" s="20"/>
      <c r="S19" s="21"/>
      <c r="T19" s="20"/>
      <c r="U19" s="21"/>
      <c r="V19" s="20"/>
      <c r="W19" s="21"/>
      <c r="X19" s="27"/>
      <c r="Y19" s="21"/>
      <c r="Z19" s="16"/>
      <c r="AA19" s="16"/>
      <c r="AC19" s="29"/>
      <c r="AD19" s="29"/>
    </row>
    <row r="20" spans="2:31" s="42" customFormat="1" ht="122.25" customHeight="1" x14ac:dyDescent="0.25">
      <c r="B20" s="30">
        <v>1</v>
      </c>
      <c r="C20" s="173" t="s">
        <v>70</v>
      </c>
      <c r="D20" s="31" t="s">
        <v>145</v>
      </c>
      <c r="E20" s="32" t="s">
        <v>34</v>
      </c>
      <c r="F20" s="33">
        <v>1</v>
      </c>
      <c r="G20" s="34">
        <v>0</v>
      </c>
      <c r="H20" s="31">
        <v>2022</v>
      </c>
      <c r="I20" s="30"/>
      <c r="J20" s="35">
        <v>1755.6675803571434</v>
      </c>
      <c r="K20" s="36">
        <v>0</v>
      </c>
      <c r="L20" s="36">
        <f>J20-K20</f>
        <v>1755.6675803571434</v>
      </c>
      <c r="M20" s="34" t="str">
        <f>Z20</f>
        <v>Ведутся процедуры по закупке товаров, работ и услуг</v>
      </c>
      <c r="N20" s="37">
        <v>424.95142857142855</v>
      </c>
      <c r="O20" s="36">
        <v>1330.7161517857148</v>
      </c>
      <c r="P20" s="36">
        <v>0</v>
      </c>
      <c r="Q20" s="38">
        <v>0</v>
      </c>
      <c r="R20" s="33" t="s">
        <v>47</v>
      </c>
      <c r="S20" s="39" t="s">
        <v>47</v>
      </c>
      <c r="T20" s="33" t="s">
        <v>47</v>
      </c>
      <c r="U20" s="39" t="s">
        <v>47</v>
      </c>
      <c r="V20" s="174" t="s">
        <v>47</v>
      </c>
      <c r="W20" s="163" t="s">
        <v>47</v>
      </c>
      <c r="X20" s="164">
        <v>10</v>
      </c>
      <c r="Y20" s="163">
        <v>6</v>
      </c>
      <c r="Z20" s="30" t="s">
        <v>64</v>
      </c>
      <c r="AA20" s="30" t="s">
        <v>65</v>
      </c>
      <c r="AB20" s="40" t="s">
        <v>56</v>
      </c>
      <c r="AC20" s="41">
        <v>1.0851301940857143</v>
      </c>
      <c r="AD20" s="41">
        <f>AC20*1000</f>
        <v>1085.1301940857143</v>
      </c>
      <c r="AE20" s="40" t="b">
        <f>J20=AD20</f>
        <v>0</v>
      </c>
    </row>
    <row r="21" spans="2:31" s="28" customFormat="1" ht="134.25" customHeight="1" x14ac:dyDescent="0.25">
      <c r="B21" s="43">
        <v>2</v>
      </c>
      <c r="C21" s="173"/>
      <c r="D21" s="44" t="s">
        <v>79</v>
      </c>
      <c r="E21" s="45" t="s">
        <v>34</v>
      </c>
      <c r="F21" s="46">
        <v>1</v>
      </c>
      <c r="G21" s="47">
        <v>0</v>
      </c>
      <c r="H21" s="31">
        <v>2022</v>
      </c>
      <c r="I21" s="43"/>
      <c r="J21" s="48">
        <f>3178200/1.12/1000</f>
        <v>2837.6785714285716</v>
      </c>
      <c r="K21" s="49">
        <v>0</v>
      </c>
      <c r="L21" s="49">
        <f>J21-K21</f>
        <v>2837.6785714285716</v>
      </c>
      <c r="M21" s="34" t="str">
        <f>Z21</f>
        <v>Договор заключен. Подрядная организация ведет подготовительные работы.</v>
      </c>
      <c r="N21" s="50">
        <f>J21</f>
        <v>2837.6785714285716</v>
      </c>
      <c r="O21" s="49">
        <v>0</v>
      </c>
      <c r="P21" s="49">
        <v>0</v>
      </c>
      <c r="Q21" s="51">
        <v>0</v>
      </c>
      <c r="R21" s="46" t="s">
        <v>47</v>
      </c>
      <c r="S21" s="52" t="s">
        <v>47</v>
      </c>
      <c r="T21" s="46" t="s">
        <v>47</v>
      </c>
      <c r="U21" s="52" t="s">
        <v>47</v>
      </c>
      <c r="V21" s="137"/>
      <c r="W21" s="139"/>
      <c r="X21" s="165"/>
      <c r="Y21" s="139"/>
      <c r="Z21" s="43" t="s">
        <v>133</v>
      </c>
      <c r="AA21" s="43" t="s">
        <v>65</v>
      </c>
      <c r="AB21" s="53" t="s">
        <v>57</v>
      </c>
      <c r="AC21" s="54">
        <v>0.37179999999999996</v>
      </c>
      <c r="AD21" s="54">
        <f>AC21*1000</f>
        <v>371.79999999999995</v>
      </c>
      <c r="AE21" s="53" t="b">
        <f>J21=AD21</f>
        <v>0</v>
      </c>
    </row>
    <row r="22" spans="2:31" s="28" customFormat="1" ht="138.75" customHeight="1" x14ac:dyDescent="0.25">
      <c r="B22" s="43">
        <v>3</v>
      </c>
      <c r="C22" s="173"/>
      <c r="D22" s="44" t="s">
        <v>92</v>
      </c>
      <c r="E22" s="45" t="s">
        <v>34</v>
      </c>
      <c r="F22" s="46">
        <v>1</v>
      </c>
      <c r="G22" s="47">
        <v>0</v>
      </c>
      <c r="H22" s="31">
        <v>2022</v>
      </c>
      <c r="I22" s="43"/>
      <c r="J22" s="48">
        <f>(5165800+1089782.51+744297)/1.12/1000</f>
        <v>6249.8924196428561</v>
      </c>
      <c r="K22" s="49">
        <v>0</v>
      </c>
      <c r="L22" s="49">
        <f>J22-K22</f>
        <v>6249.8924196428561</v>
      </c>
      <c r="M22" s="34" t="str">
        <f>Z22</f>
        <v>Договор заключен. Подрядная организация ведет подготовительные работы.</v>
      </c>
      <c r="N22" s="50">
        <v>0</v>
      </c>
      <c r="O22" s="49">
        <f>J22</f>
        <v>6249.8924196428561</v>
      </c>
      <c r="P22" s="49">
        <v>0</v>
      </c>
      <c r="Q22" s="51">
        <v>0</v>
      </c>
      <c r="R22" s="46" t="s">
        <v>47</v>
      </c>
      <c r="S22" s="52" t="s">
        <v>47</v>
      </c>
      <c r="T22" s="46" t="s">
        <v>47</v>
      </c>
      <c r="U22" s="52" t="s">
        <v>47</v>
      </c>
      <c r="V22" s="137"/>
      <c r="W22" s="139"/>
      <c r="X22" s="165"/>
      <c r="Y22" s="139"/>
      <c r="Z22" s="43" t="s">
        <v>133</v>
      </c>
      <c r="AA22" s="43" t="s">
        <v>65</v>
      </c>
      <c r="AB22" s="53" t="s">
        <v>58</v>
      </c>
      <c r="AC22" s="54">
        <v>6.6123080357142854</v>
      </c>
      <c r="AD22" s="54">
        <f>AC22*1000</f>
        <v>6612.3080357142853</v>
      </c>
      <c r="AE22" s="53" t="b">
        <f>J22=AD22</f>
        <v>0</v>
      </c>
    </row>
    <row r="23" spans="2:31" s="28" customFormat="1" ht="93.75" customHeight="1" thickBot="1" x14ac:dyDescent="0.3">
      <c r="B23" s="55">
        <v>4</v>
      </c>
      <c r="C23" s="148"/>
      <c r="D23" s="56" t="s">
        <v>123</v>
      </c>
      <c r="E23" s="57" t="s">
        <v>34</v>
      </c>
      <c r="F23" s="58">
        <v>1</v>
      </c>
      <c r="G23" s="59">
        <v>0</v>
      </c>
      <c r="H23" s="56">
        <v>2022</v>
      </c>
      <c r="I23" s="55"/>
      <c r="J23" s="60">
        <f>200000/1.12/1000</f>
        <v>178.57142857142856</v>
      </c>
      <c r="K23" s="61">
        <v>0</v>
      </c>
      <c r="L23" s="61">
        <f>J23-K23</f>
        <v>178.57142857142856</v>
      </c>
      <c r="M23" s="62" t="str">
        <f>Z23</f>
        <v>Договор заключен. Подрядная организация ведет подготовительные работы.</v>
      </c>
      <c r="N23" s="63">
        <v>0</v>
      </c>
      <c r="O23" s="61">
        <f>J23</f>
        <v>178.57142857142856</v>
      </c>
      <c r="P23" s="61">
        <v>0</v>
      </c>
      <c r="Q23" s="64">
        <v>0</v>
      </c>
      <c r="R23" s="58" t="s">
        <v>47</v>
      </c>
      <c r="S23" s="65" t="s">
        <v>47</v>
      </c>
      <c r="T23" s="58" t="s">
        <v>47</v>
      </c>
      <c r="U23" s="65" t="s">
        <v>47</v>
      </c>
      <c r="V23" s="138"/>
      <c r="W23" s="140"/>
      <c r="X23" s="160"/>
      <c r="Y23" s="140"/>
      <c r="Z23" s="55" t="s">
        <v>133</v>
      </c>
      <c r="AA23" s="55" t="s">
        <v>65</v>
      </c>
      <c r="AB23" s="53" t="s">
        <v>59</v>
      </c>
      <c r="AC23" s="54">
        <v>2.4634991099999994</v>
      </c>
      <c r="AD23" s="54">
        <f>AC23*1000</f>
        <v>2463.4991099999993</v>
      </c>
      <c r="AE23" s="53" t="b">
        <f>J23=AD23</f>
        <v>0</v>
      </c>
    </row>
    <row r="24" spans="2:31" s="28" customFormat="1" x14ac:dyDescent="0.25">
      <c r="AC24" s="29"/>
      <c r="AD24" s="29"/>
    </row>
    <row r="25" spans="2:31" s="28" customFormat="1" x14ac:dyDescent="0.25">
      <c r="K25" s="66"/>
      <c r="AC25" s="29"/>
      <c r="AD25" s="29"/>
    </row>
    <row r="26" spans="2:31" s="28" customFormat="1" x14ac:dyDescent="0.25">
      <c r="K26" s="66"/>
      <c r="AC26" s="29"/>
      <c r="AD26" s="29"/>
    </row>
    <row r="27" spans="2:31" s="28" customFormat="1" x14ac:dyDescent="0.25">
      <c r="AC27" s="29"/>
      <c r="AD27" s="29"/>
    </row>
    <row r="28" spans="2:31" s="28" customFormat="1" x14ac:dyDescent="0.25">
      <c r="AC28" s="29"/>
      <c r="AD28" s="29"/>
    </row>
    <row r="29" spans="2:31" s="28" customFormat="1" x14ac:dyDescent="0.25">
      <c r="AC29" s="29"/>
      <c r="AD29" s="29"/>
    </row>
    <row r="30" spans="2:31" s="28" customFormat="1" x14ac:dyDescent="0.25">
      <c r="AC30" s="29"/>
      <c r="AD30" s="29"/>
    </row>
    <row r="31" spans="2:31" s="28" customFormat="1" x14ac:dyDescent="0.25">
      <c r="AC31" s="29"/>
      <c r="AD31" s="29"/>
    </row>
    <row r="32" spans="2:31" s="28" customFormat="1" x14ac:dyDescent="0.25">
      <c r="AC32" s="29"/>
      <c r="AD32" s="29"/>
    </row>
    <row r="33" spans="29:30" s="28" customFormat="1" x14ac:dyDescent="0.25">
      <c r="AC33" s="29"/>
      <c r="AD33" s="29"/>
    </row>
    <row r="34" spans="29:30" s="28" customFormat="1" x14ac:dyDescent="0.25">
      <c r="AC34" s="29"/>
      <c r="AD34" s="29"/>
    </row>
    <row r="35" spans="29:30" s="28" customFormat="1" x14ac:dyDescent="0.25">
      <c r="AC35" s="29"/>
      <c r="AD35" s="29"/>
    </row>
    <row r="36" spans="29:30" s="28" customFormat="1" x14ac:dyDescent="0.25">
      <c r="AC36" s="29"/>
      <c r="AD36" s="29"/>
    </row>
    <row r="37" spans="29:30" s="28" customFormat="1" x14ac:dyDescent="0.25">
      <c r="AC37" s="29"/>
      <c r="AD37" s="29"/>
    </row>
    <row r="38" spans="29:30" s="28" customFormat="1" x14ac:dyDescent="0.25">
      <c r="AC38" s="29"/>
      <c r="AD38" s="29"/>
    </row>
    <row r="39" spans="29:30" s="28" customFormat="1" x14ac:dyDescent="0.25">
      <c r="AC39" s="29"/>
      <c r="AD39" s="29"/>
    </row>
    <row r="40" spans="29:30" s="28" customFormat="1" x14ac:dyDescent="0.25">
      <c r="AC40" s="29"/>
      <c r="AD40" s="29"/>
    </row>
    <row r="41" spans="29:30" s="28" customFormat="1" x14ac:dyDescent="0.25">
      <c r="AC41" s="29"/>
      <c r="AD41" s="29"/>
    </row>
    <row r="42" spans="29:30" s="28" customFormat="1" x14ac:dyDescent="0.25">
      <c r="AC42" s="29"/>
      <c r="AD42" s="29"/>
    </row>
    <row r="43" spans="29:30" s="28" customFormat="1" x14ac:dyDescent="0.25">
      <c r="AC43" s="29"/>
      <c r="AD43" s="29"/>
    </row>
    <row r="44" spans="29:30" s="28" customFormat="1" x14ac:dyDescent="0.25">
      <c r="AC44" s="29"/>
      <c r="AD44" s="29"/>
    </row>
    <row r="45" spans="29:30" s="28" customFormat="1" x14ac:dyDescent="0.25">
      <c r="AC45" s="29"/>
      <c r="AD45" s="29"/>
    </row>
    <row r="46" spans="29:30" s="28" customFormat="1" x14ac:dyDescent="0.25">
      <c r="AC46" s="29"/>
      <c r="AD46" s="29"/>
    </row>
    <row r="47" spans="29:30" s="28" customFormat="1" x14ac:dyDescent="0.25">
      <c r="AC47" s="29"/>
      <c r="AD47" s="29"/>
    </row>
    <row r="48" spans="29:30" s="28" customFormat="1" x14ac:dyDescent="0.25">
      <c r="AC48" s="29"/>
      <c r="AD48" s="29"/>
    </row>
    <row r="49" spans="29:30" s="28" customFormat="1" x14ac:dyDescent="0.25">
      <c r="AC49" s="29"/>
      <c r="AD49" s="29"/>
    </row>
    <row r="50" spans="29:30" s="28" customFormat="1" x14ac:dyDescent="0.25">
      <c r="AC50" s="29"/>
      <c r="AD50" s="29"/>
    </row>
    <row r="51" spans="29:30" s="28" customFormat="1" x14ac:dyDescent="0.25">
      <c r="AC51" s="29"/>
      <c r="AD51" s="29"/>
    </row>
    <row r="52" spans="29:30" s="28" customFormat="1" x14ac:dyDescent="0.25">
      <c r="AC52" s="29"/>
      <c r="AD52" s="29"/>
    </row>
    <row r="53" spans="29:30" s="28" customFormat="1" x14ac:dyDescent="0.25">
      <c r="AC53" s="29"/>
      <c r="AD53" s="29"/>
    </row>
    <row r="54" spans="29:30" s="28" customFormat="1" x14ac:dyDescent="0.25">
      <c r="AC54" s="29"/>
      <c r="AD54" s="29"/>
    </row>
    <row r="55" spans="29:30" s="28" customFormat="1" x14ac:dyDescent="0.25">
      <c r="AC55" s="29"/>
      <c r="AD55" s="29"/>
    </row>
    <row r="56" spans="29:30" s="28" customFormat="1" x14ac:dyDescent="0.25">
      <c r="AC56" s="29"/>
      <c r="AD56" s="29"/>
    </row>
    <row r="57" spans="29:30" s="28" customFormat="1" x14ac:dyDescent="0.25">
      <c r="AC57" s="29"/>
      <c r="AD57" s="29"/>
    </row>
    <row r="58" spans="29:30" s="28" customFormat="1" x14ac:dyDescent="0.25">
      <c r="AC58" s="29"/>
      <c r="AD58" s="29"/>
    </row>
    <row r="59" spans="29:30" s="28" customFormat="1" x14ac:dyDescent="0.25">
      <c r="AC59" s="29"/>
      <c r="AD59" s="29"/>
    </row>
    <row r="60" spans="29:30" s="28" customFormat="1" x14ac:dyDescent="0.25">
      <c r="AC60" s="29"/>
      <c r="AD60" s="29"/>
    </row>
    <row r="61" spans="29:30" s="28" customFormat="1" x14ac:dyDescent="0.25">
      <c r="AC61" s="29"/>
      <c r="AD61" s="29"/>
    </row>
    <row r="62" spans="29:30" s="28" customFormat="1" x14ac:dyDescent="0.25">
      <c r="AC62" s="29"/>
      <c r="AD62" s="29"/>
    </row>
    <row r="63" spans="29:30" s="28" customFormat="1" x14ac:dyDescent="0.25">
      <c r="AC63" s="29"/>
      <c r="AD63" s="29"/>
    </row>
    <row r="64" spans="29:30" s="28" customFormat="1" x14ac:dyDescent="0.25">
      <c r="AC64" s="29"/>
      <c r="AD64" s="29"/>
    </row>
    <row r="65" spans="29:30" s="28" customFormat="1" x14ac:dyDescent="0.25">
      <c r="AC65" s="29"/>
      <c r="AD65" s="29"/>
    </row>
    <row r="66" spans="29:30" s="28" customFormat="1" x14ac:dyDescent="0.25">
      <c r="AC66" s="29"/>
      <c r="AD66" s="29"/>
    </row>
    <row r="67" spans="29:30" s="28" customFormat="1" x14ac:dyDescent="0.25">
      <c r="AC67" s="29"/>
      <c r="AD67" s="29"/>
    </row>
    <row r="68" spans="29:30" s="28" customFormat="1" x14ac:dyDescent="0.25">
      <c r="AC68" s="29"/>
      <c r="AD68" s="29"/>
    </row>
    <row r="69" spans="29:30" s="28" customFormat="1" x14ac:dyDescent="0.25">
      <c r="AC69" s="29"/>
      <c r="AD69" s="29"/>
    </row>
    <row r="70" spans="29:30" s="28" customFormat="1" x14ac:dyDescent="0.25">
      <c r="AC70" s="29"/>
      <c r="AD70" s="29"/>
    </row>
    <row r="71" spans="29:30" s="28" customFormat="1" x14ac:dyDescent="0.25">
      <c r="AC71" s="29"/>
      <c r="AD71" s="29"/>
    </row>
    <row r="72" spans="29:30" s="28" customFormat="1" x14ac:dyDescent="0.25">
      <c r="AC72" s="29"/>
      <c r="AD72" s="29"/>
    </row>
    <row r="73" spans="29:30" s="28" customFormat="1" x14ac:dyDescent="0.25">
      <c r="AC73" s="29"/>
      <c r="AD73" s="29"/>
    </row>
    <row r="74" spans="29:30" s="28" customFormat="1" x14ac:dyDescent="0.25">
      <c r="AC74" s="29"/>
      <c r="AD74" s="29"/>
    </row>
    <row r="75" spans="29:30" s="28" customFormat="1" x14ac:dyDescent="0.25">
      <c r="AC75" s="29"/>
      <c r="AD75" s="29"/>
    </row>
    <row r="76" spans="29:30" s="28" customFormat="1" x14ac:dyDescent="0.25">
      <c r="AC76" s="29"/>
      <c r="AD76" s="29"/>
    </row>
    <row r="77" spans="29:30" s="28" customFormat="1" x14ac:dyDescent="0.25">
      <c r="AC77" s="29"/>
      <c r="AD77" s="29"/>
    </row>
    <row r="78" spans="29:30" s="28" customFormat="1" x14ac:dyDescent="0.25">
      <c r="AC78" s="29"/>
      <c r="AD78" s="29"/>
    </row>
    <row r="79" spans="29:30" s="28" customFormat="1" x14ac:dyDescent="0.25">
      <c r="AC79" s="29"/>
      <c r="AD79" s="29"/>
    </row>
    <row r="80" spans="29:30" s="28" customFormat="1" x14ac:dyDescent="0.25">
      <c r="AC80" s="29"/>
      <c r="AD80" s="29"/>
    </row>
    <row r="81" spans="29:30" s="28" customFormat="1" x14ac:dyDescent="0.25">
      <c r="AC81" s="29"/>
      <c r="AD81" s="29"/>
    </row>
    <row r="82" spans="29:30" s="28" customFormat="1" x14ac:dyDescent="0.25">
      <c r="AC82" s="29"/>
      <c r="AD82" s="29"/>
    </row>
    <row r="83" spans="29:30" s="28" customFormat="1" x14ac:dyDescent="0.25">
      <c r="AC83" s="29"/>
      <c r="AD83" s="29"/>
    </row>
    <row r="84" spans="29:30" s="28" customFormat="1" x14ac:dyDescent="0.25">
      <c r="AC84" s="29"/>
      <c r="AD84" s="29"/>
    </row>
    <row r="85" spans="29:30" s="28" customFormat="1" x14ac:dyDescent="0.25">
      <c r="AC85" s="29"/>
      <c r="AD85" s="29"/>
    </row>
    <row r="86" spans="29:30" s="28" customFormat="1" x14ac:dyDescent="0.25">
      <c r="AC86" s="29"/>
      <c r="AD86" s="29"/>
    </row>
    <row r="87" spans="29:30" s="28" customFormat="1" x14ac:dyDescent="0.25">
      <c r="AC87" s="29"/>
      <c r="AD87" s="29"/>
    </row>
    <row r="88" spans="29:30" s="28" customFormat="1" x14ac:dyDescent="0.25">
      <c r="AC88" s="29"/>
      <c r="AD88" s="29"/>
    </row>
    <row r="89" spans="29:30" s="28" customFormat="1" x14ac:dyDescent="0.25">
      <c r="AC89" s="29"/>
      <c r="AD89" s="29"/>
    </row>
    <row r="90" spans="29:30" s="28" customFormat="1" x14ac:dyDescent="0.25">
      <c r="AC90" s="29"/>
      <c r="AD90" s="29"/>
    </row>
    <row r="91" spans="29:30" s="28" customFormat="1" x14ac:dyDescent="0.25">
      <c r="AC91" s="29"/>
      <c r="AD91" s="29"/>
    </row>
    <row r="92" spans="29:30" s="28" customFormat="1" x14ac:dyDescent="0.25">
      <c r="AC92" s="29"/>
      <c r="AD92" s="29"/>
    </row>
    <row r="93" spans="29:30" s="28" customFormat="1" x14ac:dyDescent="0.25">
      <c r="AC93" s="29"/>
      <c r="AD93" s="29"/>
    </row>
    <row r="94" spans="29:30" s="28" customFormat="1" x14ac:dyDescent="0.25">
      <c r="AC94" s="29"/>
      <c r="AD94" s="29"/>
    </row>
    <row r="95" spans="29:30" s="28" customFormat="1" x14ac:dyDescent="0.25">
      <c r="AC95" s="29"/>
      <c r="AD95" s="29"/>
    </row>
    <row r="96" spans="29:30" s="28" customFormat="1" x14ac:dyDescent="0.25">
      <c r="AC96" s="29"/>
      <c r="AD96" s="29"/>
    </row>
    <row r="97" spans="29:30" s="28" customFormat="1" x14ac:dyDescent="0.25">
      <c r="AC97" s="29"/>
      <c r="AD97" s="29"/>
    </row>
    <row r="98" spans="29:30" s="28" customFormat="1" x14ac:dyDescent="0.25">
      <c r="AC98" s="29"/>
      <c r="AD98" s="29"/>
    </row>
    <row r="99" spans="29:30" s="28" customFormat="1" x14ac:dyDescent="0.25">
      <c r="AC99" s="29"/>
      <c r="AD99" s="29"/>
    </row>
    <row r="100" spans="29:30" s="28" customFormat="1" x14ac:dyDescent="0.25">
      <c r="AC100" s="29"/>
      <c r="AD100" s="29"/>
    </row>
    <row r="101" spans="29:30" s="28" customFormat="1" x14ac:dyDescent="0.25">
      <c r="AC101" s="29"/>
      <c r="AD101" s="29"/>
    </row>
    <row r="102" spans="29:30" s="28" customFormat="1" x14ac:dyDescent="0.25">
      <c r="AC102" s="29"/>
      <c r="AD102" s="29"/>
    </row>
    <row r="103" spans="29:30" s="28" customFormat="1" x14ac:dyDescent="0.25">
      <c r="AC103" s="29"/>
      <c r="AD103" s="29"/>
    </row>
    <row r="104" spans="29:30" s="28" customFormat="1" x14ac:dyDescent="0.25">
      <c r="AC104" s="29"/>
      <c r="AD104" s="29"/>
    </row>
    <row r="105" spans="29:30" s="28" customFormat="1" x14ac:dyDescent="0.25">
      <c r="AC105" s="29"/>
      <c r="AD105" s="29"/>
    </row>
    <row r="106" spans="29:30" s="28" customFormat="1" x14ac:dyDescent="0.25">
      <c r="AC106" s="29"/>
      <c r="AD106" s="29"/>
    </row>
    <row r="107" spans="29:30" s="28" customFormat="1" x14ac:dyDescent="0.25">
      <c r="AC107" s="29"/>
      <c r="AD107" s="29"/>
    </row>
    <row r="108" spans="29:30" s="28" customFormat="1" x14ac:dyDescent="0.25">
      <c r="AC108" s="29"/>
      <c r="AD108" s="29"/>
    </row>
    <row r="109" spans="29:30" s="28" customFormat="1" x14ac:dyDescent="0.25">
      <c r="AC109" s="29"/>
      <c r="AD109" s="29"/>
    </row>
    <row r="110" spans="29:30" s="28" customFormat="1" x14ac:dyDescent="0.25">
      <c r="AC110" s="29"/>
      <c r="AD110" s="29"/>
    </row>
    <row r="111" spans="29:30" s="28" customFormat="1" x14ac:dyDescent="0.25">
      <c r="AC111" s="29"/>
      <c r="AD111" s="29"/>
    </row>
    <row r="112" spans="29:30" s="28" customFormat="1" x14ac:dyDescent="0.25">
      <c r="AC112" s="29"/>
      <c r="AD112" s="29"/>
    </row>
    <row r="113" spans="29:30" s="28" customFormat="1" x14ac:dyDescent="0.25">
      <c r="AC113" s="29"/>
      <c r="AD113" s="29"/>
    </row>
    <row r="114" spans="29:30" s="28" customFormat="1" x14ac:dyDescent="0.25">
      <c r="AC114" s="29"/>
      <c r="AD114" s="29"/>
    </row>
    <row r="115" spans="29:30" s="28" customFormat="1" x14ac:dyDescent="0.25">
      <c r="AC115" s="29"/>
      <c r="AD115" s="29"/>
    </row>
    <row r="116" spans="29:30" s="28" customFormat="1" x14ac:dyDescent="0.25">
      <c r="AC116" s="29"/>
      <c r="AD116" s="29"/>
    </row>
    <row r="117" spans="29:30" s="28" customFormat="1" x14ac:dyDescent="0.25">
      <c r="AC117" s="29"/>
      <c r="AD117" s="29"/>
    </row>
    <row r="118" spans="29:30" s="28" customFormat="1" x14ac:dyDescent="0.25">
      <c r="AC118" s="29"/>
      <c r="AD118" s="29"/>
    </row>
    <row r="119" spans="29:30" s="28" customFormat="1" x14ac:dyDescent="0.25">
      <c r="AC119" s="29"/>
      <c r="AD119" s="29"/>
    </row>
    <row r="120" spans="29:30" s="28" customFormat="1" x14ac:dyDescent="0.25">
      <c r="AC120" s="29"/>
      <c r="AD120" s="29"/>
    </row>
    <row r="121" spans="29:30" s="28" customFormat="1" x14ac:dyDescent="0.25">
      <c r="AC121" s="29"/>
      <c r="AD121" s="29"/>
    </row>
    <row r="122" spans="29:30" s="28" customFormat="1" x14ac:dyDescent="0.25">
      <c r="AC122" s="29"/>
      <c r="AD122" s="29"/>
    </row>
    <row r="123" spans="29:30" s="28" customFormat="1" x14ac:dyDescent="0.25">
      <c r="AC123" s="29"/>
      <c r="AD123" s="29"/>
    </row>
    <row r="124" spans="29:30" s="28" customFormat="1" x14ac:dyDescent="0.25">
      <c r="AC124" s="29"/>
      <c r="AD124" s="29"/>
    </row>
    <row r="125" spans="29:30" s="28" customFormat="1" x14ac:dyDescent="0.25">
      <c r="AC125" s="29"/>
      <c r="AD125" s="29"/>
    </row>
    <row r="126" spans="29:30" s="28" customFormat="1" x14ac:dyDescent="0.25">
      <c r="AC126" s="29"/>
      <c r="AD126" s="29"/>
    </row>
    <row r="127" spans="29:30" s="28" customFormat="1" x14ac:dyDescent="0.25">
      <c r="AC127" s="29"/>
      <c r="AD127" s="29"/>
    </row>
    <row r="128" spans="29:30" s="28" customFormat="1" x14ac:dyDescent="0.25">
      <c r="AC128" s="29"/>
      <c r="AD128" s="29"/>
    </row>
    <row r="129" spans="29:30" s="28" customFormat="1" x14ac:dyDescent="0.25">
      <c r="AC129" s="29"/>
      <c r="AD129" s="29"/>
    </row>
    <row r="130" spans="29:30" s="28" customFormat="1" x14ac:dyDescent="0.25">
      <c r="AC130" s="29"/>
      <c r="AD130" s="29"/>
    </row>
    <row r="131" spans="29:30" s="28" customFormat="1" x14ac:dyDescent="0.25">
      <c r="AC131" s="29"/>
      <c r="AD131" s="29"/>
    </row>
    <row r="132" spans="29:30" s="28" customFormat="1" x14ac:dyDescent="0.25">
      <c r="AC132" s="29"/>
      <c r="AD132" s="29"/>
    </row>
    <row r="133" spans="29:30" s="28" customFormat="1" x14ac:dyDescent="0.25">
      <c r="AC133" s="29"/>
      <c r="AD133" s="29"/>
    </row>
    <row r="134" spans="29:30" s="28" customFormat="1" x14ac:dyDescent="0.25">
      <c r="AC134" s="29"/>
      <c r="AD134" s="29"/>
    </row>
    <row r="135" spans="29:30" s="28" customFormat="1" x14ac:dyDescent="0.25">
      <c r="AC135" s="29"/>
      <c r="AD135" s="29"/>
    </row>
    <row r="136" spans="29:30" s="28" customFormat="1" x14ac:dyDescent="0.25">
      <c r="AC136" s="29"/>
      <c r="AD136" s="29"/>
    </row>
    <row r="137" spans="29:30" s="28" customFormat="1" x14ac:dyDescent="0.25">
      <c r="AC137" s="29"/>
      <c r="AD137" s="29"/>
    </row>
    <row r="138" spans="29:30" s="28" customFormat="1" x14ac:dyDescent="0.25">
      <c r="AC138" s="29"/>
      <c r="AD138" s="29"/>
    </row>
    <row r="139" spans="29:30" s="28" customFormat="1" x14ac:dyDescent="0.25">
      <c r="AC139" s="29"/>
      <c r="AD139" s="29"/>
    </row>
    <row r="140" spans="29:30" s="28" customFormat="1" x14ac:dyDescent="0.25">
      <c r="AC140" s="29"/>
      <c r="AD140" s="29"/>
    </row>
    <row r="141" spans="29:30" s="28" customFormat="1" x14ac:dyDescent="0.25">
      <c r="AC141" s="29"/>
      <c r="AD141" s="29"/>
    </row>
    <row r="142" spans="29:30" s="28" customFormat="1" x14ac:dyDescent="0.25">
      <c r="AC142" s="29"/>
      <c r="AD142" s="29"/>
    </row>
    <row r="143" spans="29:30" s="28" customFormat="1" x14ac:dyDescent="0.25">
      <c r="AC143" s="29"/>
      <c r="AD143" s="29"/>
    </row>
    <row r="144" spans="29:30" s="28" customFormat="1" x14ac:dyDescent="0.25">
      <c r="AC144" s="29"/>
      <c r="AD144" s="29"/>
    </row>
    <row r="145" spans="29:30" s="28" customFormat="1" x14ac:dyDescent="0.25">
      <c r="AC145" s="29"/>
      <c r="AD145" s="29"/>
    </row>
    <row r="146" spans="29:30" s="28" customFormat="1" x14ac:dyDescent="0.25">
      <c r="AC146" s="29"/>
      <c r="AD146" s="29"/>
    </row>
    <row r="147" spans="29:30" s="28" customFormat="1" x14ac:dyDescent="0.25">
      <c r="AC147" s="29"/>
      <c r="AD147" s="29"/>
    </row>
    <row r="148" spans="29:30" s="28" customFormat="1" x14ac:dyDescent="0.25">
      <c r="AC148" s="29"/>
      <c r="AD148" s="29"/>
    </row>
    <row r="149" spans="29:30" s="28" customFormat="1" x14ac:dyDescent="0.25">
      <c r="AC149" s="29"/>
      <c r="AD149" s="29"/>
    </row>
    <row r="150" spans="29:30" s="28" customFormat="1" x14ac:dyDescent="0.25">
      <c r="AC150" s="29"/>
      <c r="AD150" s="29"/>
    </row>
    <row r="151" spans="29:30" s="28" customFormat="1" x14ac:dyDescent="0.25">
      <c r="AC151" s="29"/>
      <c r="AD151" s="29"/>
    </row>
    <row r="152" spans="29:30" s="28" customFormat="1" x14ac:dyDescent="0.25">
      <c r="AC152" s="29"/>
      <c r="AD152" s="29"/>
    </row>
    <row r="153" spans="29:30" s="28" customFormat="1" x14ac:dyDescent="0.25">
      <c r="AC153" s="29"/>
      <c r="AD153" s="29"/>
    </row>
    <row r="154" spans="29:30" s="28" customFormat="1" x14ac:dyDescent="0.25">
      <c r="AC154" s="29"/>
      <c r="AD154" s="29"/>
    </row>
    <row r="155" spans="29:30" s="28" customFormat="1" x14ac:dyDescent="0.25">
      <c r="AC155" s="29"/>
      <c r="AD155" s="29"/>
    </row>
    <row r="156" spans="29:30" s="28" customFormat="1" x14ac:dyDescent="0.25">
      <c r="AC156" s="29"/>
      <c r="AD156" s="29"/>
    </row>
    <row r="157" spans="29:30" s="28" customFormat="1" x14ac:dyDescent="0.25">
      <c r="AC157" s="29"/>
      <c r="AD157" s="29"/>
    </row>
    <row r="158" spans="29:30" s="28" customFormat="1" x14ac:dyDescent="0.25">
      <c r="AC158" s="29"/>
      <c r="AD158" s="29"/>
    </row>
    <row r="159" spans="29:30" s="28" customFormat="1" x14ac:dyDescent="0.25">
      <c r="AC159" s="29"/>
      <c r="AD159" s="29"/>
    </row>
    <row r="160" spans="29:30" s="28" customFormat="1" x14ac:dyDescent="0.25">
      <c r="AC160" s="29"/>
      <c r="AD160" s="29"/>
    </row>
    <row r="161" spans="29:30" s="28" customFormat="1" x14ac:dyDescent="0.25">
      <c r="AC161" s="29"/>
      <c r="AD161" s="29"/>
    </row>
    <row r="162" spans="29:30" s="28" customFormat="1" x14ac:dyDescent="0.25">
      <c r="AC162" s="29"/>
      <c r="AD162" s="29"/>
    </row>
    <row r="163" spans="29:30" s="28" customFormat="1" x14ac:dyDescent="0.25">
      <c r="AC163" s="29"/>
      <c r="AD163" s="29"/>
    </row>
    <row r="164" spans="29:30" s="28" customFormat="1" x14ac:dyDescent="0.25">
      <c r="AC164" s="29"/>
      <c r="AD164" s="29"/>
    </row>
    <row r="165" spans="29:30" s="28" customFormat="1" x14ac:dyDescent="0.25">
      <c r="AC165" s="29"/>
      <c r="AD165" s="29"/>
    </row>
    <row r="166" spans="29:30" s="28" customFormat="1" x14ac:dyDescent="0.25">
      <c r="AC166" s="29"/>
      <c r="AD166" s="29"/>
    </row>
    <row r="167" spans="29:30" s="28" customFormat="1" x14ac:dyDescent="0.25">
      <c r="AC167" s="29"/>
      <c r="AD167" s="29"/>
    </row>
    <row r="168" spans="29:30" s="28" customFormat="1" x14ac:dyDescent="0.25">
      <c r="AC168" s="29"/>
      <c r="AD168" s="29"/>
    </row>
    <row r="169" spans="29:30" s="28" customFormat="1" x14ac:dyDescent="0.25">
      <c r="AC169" s="29"/>
      <c r="AD169" s="29"/>
    </row>
    <row r="170" spans="29:30" s="28" customFormat="1" x14ac:dyDescent="0.25">
      <c r="AC170" s="29"/>
      <c r="AD170" s="29"/>
    </row>
    <row r="171" spans="29:30" s="28" customFormat="1" x14ac:dyDescent="0.25">
      <c r="AC171" s="29"/>
      <c r="AD171" s="29"/>
    </row>
    <row r="172" spans="29:30" s="28" customFormat="1" x14ac:dyDescent="0.25">
      <c r="AC172" s="29"/>
      <c r="AD172" s="29"/>
    </row>
  </sheetData>
  <mergeCells count="35">
    <mergeCell ref="K8:P8"/>
    <mergeCell ref="B9:AA9"/>
    <mergeCell ref="B10:AA10"/>
    <mergeCell ref="B11:AA11"/>
    <mergeCell ref="B14:B17"/>
    <mergeCell ref="C14:H14"/>
    <mergeCell ref="I14:I17"/>
    <mergeCell ref="J14:M14"/>
    <mergeCell ref="N14:Q14"/>
    <mergeCell ref="R14:Y14"/>
    <mergeCell ref="Z14:Z17"/>
    <mergeCell ref="AA14:AA17"/>
    <mergeCell ref="C15:C17"/>
    <mergeCell ref="D15:D17"/>
    <mergeCell ref="E15:E17"/>
    <mergeCell ref="F15:G15"/>
    <mergeCell ref="C20:C23"/>
    <mergeCell ref="V20:V23"/>
    <mergeCell ref="W20:W23"/>
    <mergeCell ref="X20:X23"/>
    <mergeCell ref="Y20:Y23"/>
    <mergeCell ref="F16:F17"/>
    <mergeCell ref="G16:G17"/>
    <mergeCell ref="X15:Y16"/>
    <mergeCell ref="Q15:Q17"/>
    <mergeCell ref="R15:S16"/>
    <mergeCell ref="T15:U16"/>
    <mergeCell ref="V15:W16"/>
    <mergeCell ref="H15:H17"/>
    <mergeCell ref="N15:O16"/>
    <mergeCell ref="P15:P17"/>
    <mergeCell ref="J15:J17"/>
    <mergeCell ref="K15:K17"/>
    <mergeCell ref="L15:L17"/>
    <mergeCell ref="M15:M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175"/>
  <sheetViews>
    <sheetView topLeftCell="A9" zoomScale="70" zoomScaleNormal="70" workbookViewId="0">
      <selection activeCell="J22" sqref="J22"/>
    </sheetView>
  </sheetViews>
  <sheetFormatPr defaultRowHeight="15.75" x14ac:dyDescent="0.25"/>
  <cols>
    <col min="1" max="2" width="9.140625" style="1"/>
    <col min="3" max="3" width="19.85546875" style="1" customWidth="1"/>
    <col min="4" max="4" width="44.140625" style="1" customWidth="1"/>
    <col min="5" max="5" width="12" style="1" customWidth="1"/>
    <col min="6" max="9" width="9.140625" style="1"/>
    <col min="10" max="10" width="16.7109375" style="1" customWidth="1"/>
    <col min="11" max="11" width="13.85546875" style="1" customWidth="1"/>
    <col min="12" max="12" width="14.5703125" style="1" customWidth="1"/>
    <col min="13" max="13" width="19.42578125" style="1" customWidth="1"/>
    <col min="14" max="14" width="15.42578125" style="1" customWidth="1"/>
    <col min="15" max="15" width="14.85546875" style="1" customWidth="1"/>
    <col min="16" max="16" width="9.140625" style="1"/>
    <col min="17" max="17" width="9.7109375" style="1" customWidth="1"/>
    <col min="18" max="18" width="9.28515625" style="1" bestFit="1" customWidth="1"/>
    <col min="19" max="19" width="8.85546875" style="1" bestFit="1" customWidth="1"/>
    <col min="20" max="20" width="9.28515625" style="1" bestFit="1" customWidth="1"/>
    <col min="21" max="21" width="8.85546875" style="1" bestFit="1" customWidth="1"/>
    <col min="22" max="23" width="10.28515625" style="1" bestFit="1" customWidth="1"/>
    <col min="24" max="24" width="9.28515625" style="1" bestFit="1" customWidth="1"/>
    <col min="25" max="25" width="8.85546875" style="1" bestFit="1" customWidth="1"/>
    <col min="26" max="26" width="29.28515625" style="1" customWidth="1"/>
    <col min="27" max="27" width="24" style="1" bestFit="1" customWidth="1"/>
    <col min="28" max="28" width="20.140625" style="121" customWidth="1"/>
    <col min="29" max="30" width="20.140625" style="4" customWidth="1"/>
    <col min="31" max="31" width="20.140625" style="1" customWidth="1"/>
    <col min="32" max="32" width="16.28515625" style="1" customWidth="1"/>
    <col min="33" max="33" width="21.85546875" style="1" customWidth="1"/>
    <col min="34" max="16384" width="9.140625" style="1"/>
  </cols>
  <sheetData>
    <row r="1" spans="2:27" x14ac:dyDescent="0.25">
      <c r="J1" s="6"/>
      <c r="N1" s="6"/>
      <c r="O1" s="6"/>
      <c r="Z1" s="2"/>
      <c r="AA1" s="3" t="s">
        <v>25</v>
      </c>
    </row>
    <row r="2" spans="2:27" x14ac:dyDescent="0.25">
      <c r="AA2" s="5" t="s">
        <v>26</v>
      </c>
    </row>
    <row r="3" spans="2:27" x14ac:dyDescent="0.25">
      <c r="J3" s="6"/>
      <c r="AA3" s="7" t="s">
        <v>27</v>
      </c>
    </row>
    <row r="4" spans="2:27" x14ac:dyDescent="0.25">
      <c r="N4" s="6"/>
      <c r="O4" s="6"/>
      <c r="AA4" s="3" t="s">
        <v>28</v>
      </c>
    </row>
    <row r="6" spans="2:27" x14ac:dyDescent="0.25">
      <c r="AA6" s="3" t="s">
        <v>29</v>
      </c>
    </row>
    <row r="7" spans="2:27" x14ac:dyDescent="0.25">
      <c r="AA7" s="3"/>
    </row>
    <row r="8" spans="2:27" x14ac:dyDescent="0.25">
      <c r="N8" s="92" t="s">
        <v>30</v>
      </c>
      <c r="AA8" s="3"/>
    </row>
    <row r="9" spans="2:27" x14ac:dyDescent="0.25">
      <c r="B9" s="136" t="s">
        <v>74</v>
      </c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</row>
    <row r="10" spans="2:27" x14ac:dyDescent="0.25">
      <c r="B10" s="143" t="s">
        <v>43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</row>
    <row r="11" spans="2:27" x14ac:dyDescent="0.25">
      <c r="B11" s="136" t="s">
        <v>31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</row>
    <row r="12" spans="2:27" x14ac:dyDescent="0.25">
      <c r="N12" s="6"/>
      <c r="AA12" s="3"/>
    </row>
    <row r="13" spans="2:27" ht="16.5" thickBot="1" x14ac:dyDescent="0.3">
      <c r="J13" s="8">
        <v>273698.77799999999</v>
      </c>
      <c r="K13" s="9">
        <f>J13-J19</f>
        <v>-5.2142856875434518E-3</v>
      </c>
      <c r="N13" s="6"/>
      <c r="O13" s="6"/>
    </row>
    <row r="14" spans="2:27" ht="75.75" customHeight="1" thickBot="1" x14ac:dyDescent="0.3">
      <c r="B14" s="129" t="s">
        <v>0</v>
      </c>
      <c r="C14" s="133" t="s">
        <v>1</v>
      </c>
      <c r="D14" s="134"/>
      <c r="E14" s="134"/>
      <c r="F14" s="134"/>
      <c r="G14" s="134"/>
      <c r="H14" s="135"/>
      <c r="I14" s="126" t="s">
        <v>2</v>
      </c>
      <c r="J14" s="134" t="s">
        <v>3</v>
      </c>
      <c r="K14" s="134"/>
      <c r="L14" s="134"/>
      <c r="M14" s="135"/>
      <c r="N14" s="133" t="s">
        <v>12</v>
      </c>
      <c r="O14" s="134"/>
      <c r="P14" s="134"/>
      <c r="Q14" s="135"/>
      <c r="R14" s="133" t="s">
        <v>13</v>
      </c>
      <c r="S14" s="134"/>
      <c r="T14" s="134"/>
      <c r="U14" s="134"/>
      <c r="V14" s="134"/>
      <c r="W14" s="134"/>
      <c r="X14" s="134"/>
      <c r="Y14" s="135"/>
      <c r="Z14" s="126" t="s">
        <v>14</v>
      </c>
      <c r="AA14" s="126" t="s">
        <v>15</v>
      </c>
    </row>
    <row r="15" spans="2:27" ht="99" customHeight="1" thickBot="1" x14ac:dyDescent="0.3">
      <c r="B15" s="145"/>
      <c r="C15" s="126" t="s">
        <v>4</v>
      </c>
      <c r="D15" s="126" t="s">
        <v>5</v>
      </c>
      <c r="E15" s="126" t="s">
        <v>6</v>
      </c>
      <c r="F15" s="133" t="s">
        <v>7</v>
      </c>
      <c r="G15" s="135"/>
      <c r="H15" s="126" t="s">
        <v>8</v>
      </c>
      <c r="I15" s="127"/>
      <c r="J15" s="130" t="s">
        <v>93</v>
      </c>
      <c r="K15" s="126" t="s">
        <v>94</v>
      </c>
      <c r="L15" s="126" t="s">
        <v>95</v>
      </c>
      <c r="M15" s="126" t="s">
        <v>9</v>
      </c>
      <c r="N15" s="129" t="s">
        <v>16</v>
      </c>
      <c r="O15" s="130"/>
      <c r="P15" s="126" t="s">
        <v>17</v>
      </c>
      <c r="Q15" s="126" t="s">
        <v>18</v>
      </c>
      <c r="R15" s="129" t="s">
        <v>19</v>
      </c>
      <c r="S15" s="130"/>
      <c r="T15" s="129" t="s">
        <v>20</v>
      </c>
      <c r="U15" s="130"/>
      <c r="V15" s="129" t="s">
        <v>21</v>
      </c>
      <c r="W15" s="130"/>
      <c r="X15" s="129" t="s">
        <v>22</v>
      </c>
      <c r="Y15" s="130"/>
      <c r="Z15" s="127"/>
      <c r="AA15" s="127"/>
    </row>
    <row r="16" spans="2:27" ht="84" customHeight="1" thickBot="1" x14ac:dyDescent="0.3">
      <c r="B16" s="145"/>
      <c r="C16" s="127"/>
      <c r="D16" s="127"/>
      <c r="E16" s="127"/>
      <c r="F16" s="126" t="s">
        <v>10</v>
      </c>
      <c r="G16" s="126" t="s">
        <v>11</v>
      </c>
      <c r="H16" s="127"/>
      <c r="I16" s="127"/>
      <c r="J16" s="146"/>
      <c r="K16" s="127"/>
      <c r="L16" s="127"/>
      <c r="M16" s="127"/>
      <c r="N16" s="131"/>
      <c r="O16" s="132"/>
      <c r="P16" s="127"/>
      <c r="Q16" s="127"/>
      <c r="R16" s="131"/>
      <c r="S16" s="132"/>
      <c r="T16" s="131"/>
      <c r="U16" s="132"/>
      <c r="V16" s="131"/>
      <c r="W16" s="132"/>
      <c r="X16" s="131"/>
      <c r="Y16" s="132"/>
      <c r="Z16" s="127"/>
      <c r="AA16" s="127"/>
    </row>
    <row r="17" spans="2:34" ht="48" thickBot="1" x14ac:dyDescent="0.3">
      <c r="B17" s="131"/>
      <c r="C17" s="128"/>
      <c r="D17" s="128"/>
      <c r="E17" s="128"/>
      <c r="F17" s="128"/>
      <c r="G17" s="128"/>
      <c r="H17" s="128"/>
      <c r="I17" s="128"/>
      <c r="J17" s="132"/>
      <c r="K17" s="128"/>
      <c r="L17" s="128"/>
      <c r="M17" s="128"/>
      <c r="N17" s="10" t="s">
        <v>96</v>
      </c>
      <c r="O17" s="10" t="s">
        <v>97</v>
      </c>
      <c r="P17" s="128"/>
      <c r="Q17" s="128"/>
      <c r="R17" s="10" t="s">
        <v>23</v>
      </c>
      <c r="S17" s="11" t="s">
        <v>24</v>
      </c>
      <c r="T17" s="11" t="s">
        <v>23</v>
      </c>
      <c r="U17" s="11" t="s">
        <v>24</v>
      </c>
      <c r="V17" s="11" t="s">
        <v>10</v>
      </c>
      <c r="W17" s="11" t="s">
        <v>11</v>
      </c>
      <c r="X17" s="11" t="s">
        <v>23</v>
      </c>
      <c r="Y17" s="11" t="s">
        <v>24</v>
      </c>
      <c r="Z17" s="128"/>
      <c r="AA17" s="128"/>
    </row>
    <row r="18" spans="2:34" ht="16.5" thickBot="1" x14ac:dyDescent="0.3">
      <c r="B18" s="12">
        <v>1</v>
      </c>
      <c r="C18" s="15">
        <v>2</v>
      </c>
      <c r="D18" s="14">
        <v>3</v>
      </c>
      <c r="E18" s="14">
        <v>4</v>
      </c>
      <c r="F18" s="14">
        <v>5</v>
      </c>
      <c r="G18" s="14">
        <v>6</v>
      </c>
      <c r="H18" s="14">
        <v>7</v>
      </c>
      <c r="I18" s="15">
        <v>8</v>
      </c>
      <c r="J18" s="14">
        <v>9</v>
      </c>
      <c r="K18" s="14">
        <v>10</v>
      </c>
      <c r="L18" s="14">
        <v>11</v>
      </c>
      <c r="M18" s="14">
        <v>12</v>
      </c>
      <c r="N18" s="15">
        <v>13</v>
      </c>
      <c r="O18" s="14">
        <v>14</v>
      </c>
      <c r="P18" s="14">
        <v>15</v>
      </c>
      <c r="Q18" s="14">
        <v>16</v>
      </c>
      <c r="R18" s="15">
        <v>17</v>
      </c>
      <c r="S18" s="14">
        <v>18</v>
      </c>
      <c r="T18" s="14">
        <v>19</v>
      </c>
      <c r="U18" s="14">
        <v>20</v>
      </c>
      <c r="V18" s="14">
        <v>21</v>
      </c>
      <c r="W18" s="14">
        <v>22</v>
      </c>
      <c r="X18" s="14">
        <v>23</v>
      </c>
      <c r="Y18" s="14">
        <v>24</v>
      </c>
      <c r="Z18" s="15">
        <v>25</v>
      </c>
      <c r="AA18" s="15">
        <v>26</v>
      </c>
    </row>
    <row r="19" spans="2:34" s="28" customFormat="1" ht="17.25" customHeight="1" x14ac:dyDescent="0.25">
      <c r="B19" s="69"/>
      <c r="C19" s="70"/>
      <c r="D19" s="71" t="s">
        <v>33</v>
      </c>
      <c r="E19" s="72"/>
      <c r="F19" s="72"/>
      <c r="G19" s="72"/>
      <c r="H19" s="21"/>
      <c r="I19" s="16"/>
      <c r="J19" s="23">
        <f>SUM(J20:J26)</f>
        <v>273698.78321428568</v>
      </c>
      <c r="K19" s="23">
        <f>SUM(K20:K26)</f>
        <v>738.89999999999986</v>
      </c>
      <c r="L19" s="23">
        <f>SUM(L20:L26)</f>
        <v>272959.88321428571</v>
      </c>
      <c r="M19" s="21"/>
      <c r="N19" s="26">
        <f>SUM(N20:N26)</f>
        <v>130761.89</v>
      </c>
      <c r="O19" s="25">
        <f>SUM(O20:O26)</f>
        <v>142936.89321428569</v>
      </c>
      <c r="P19" s="24">
        <f>SUM(P20:P26)</f>
        <v>0</v>
      </c>
      <c r="Q19" s="24">
        <f>SUM(Q20:Q26)</f>
        <v>0</v>
      </c>
      <c r="R19" s="20"/>
      <c r="S19" s="21"/>
      <c r="T19" s="20"/>
      <c r="U19" s="21"/>
      <c r="V19" s="20"/>
      <c r="W19" s="21"/>
      <c r="X19" s="27"/>
      <c r="Y19" s="21"/>
      <c r="Z19" s="16"/>
      <c r="AA19" s="16"/>
      <c r="AB19" s="122"/>
      <c r="AC19" s="29"/>
      <c r="AD19" s="29"/>
    </row>
    <row r="20" spans="2:34" s="28" customFormat="1" ht="117.75" customHeight="1" x14ac:dyDescent="0.25">
      <c r="B20" s="73">
        <v>1</v>
      </c>
      <c r="C20" s="137" t="s">
        <v>71</v>
      </c>
      <c r="D20" s="74" t="s">
        <v>80</v>
      </c>
      <c r="E20" s="74" t="s">
        <v>34</v>
      </c>
      <c r="F20" s="74">
        <v>1</v>
      </c>
      <c r="G20" s="49">
        <v>0</v>
      </c>
      <c r="H20" s="52">
        <v>2022</v>
      </c>
      <c r="I20" s="43"/>
      <c r="J20" s="48">
        <f>38951400/1.12/1000</f>
        <v>34778.03571428571</v>
      </c>
      <c r="K20" s="49">
        <v>0</v>
      </c>
      <c r="L20" s="49">
        <f t="shared" ref="L20:L26" si="0">J20-K20</f>
        <v>34778.03571428571</v>
      </c>
      <c r="M20" s="47" t="str">
        <f>Z20</f>
        <v>Договор заключен. Подрядная организация ведет подготовительные работы.</v>
      </c>
      <c r="N20" s="50">
        <v>0</v>
      </c>
      <c r="O20" s="49">
        <f>J20</f>
        <v>34778.03571428571</v>
      </c>
      <c r="P20" s="49">
        <v>0</v>
      </c>
      <c r="Q20" s="51">
        <v>0</v>
      </c>
      <c r="R20" s="46" t="s">
        <v>47</v>
      </c>
      <c r="S20" s="52" t="s">
        <v>47</v>
      </c>
      <c r="T20" s="46" t="s">
        <v>47</v>
      </c>
      <c r="U20" s="52" t="s">
        <v>47</v>
      </c>
      <c r="V20" s="174" t="s">
        <v>47</v>
      </c>
      <c r="W20" s="163" t="s">
        <v>47</v>
      </c>
      <c r="X20" s="164">
        <v>3</v>
      </c>
      <c r="Y20" s="163">
        <v>3</v>
      </c>
      <c r="Z20" s="43" t="s">
        <v>133</v>
      </c>
      <c r="AA20" s="43" t="s">
        <v>65</v>
      </c>
      <c r="AB20" s="123">
        <f>'[1]Переход 21г+Новые 2022г'!$DU$146/1.12</f>
        <v>34.778035714285707</v>
      </c>
      <c r="AC20" s="41">
        <f>'[2]ИП 21_на 01.07.'!$BI$186/1.12</f>
        <v>3.9844580803571423</v>
      </c>
      <c r="AD20" s="41">
        <f>AC20*1000</f>
        <v>3984.4580803571425</v>
      </c>
      <c r="AE20" s="40" t="b">
        <f>AD20=J20</f>
        <v>0</v>
      </c>
      <c r="AF20" s="40"/>
      <c r="AG20" s="40"/>
      <c r="AH20" s="40"/>
    </row>
    <row r="21" spans="2:34" s="28" customFormat="1" ht="110.25" x14ac:dyDescent="0.25">
      <c r="B21" s="73">
        <v>2</v>
      </c>
      <c r="C21" s="137"/>
      <c r="D21" s="74" t="s">
        <v>81</v>
      </c>
      <c r="E21" s="74" t="s">
        <v>34</v>
      </c>
      <c r="F21" s="74">
        <v>1</v>
      </c>
      <c r="G21" s="49">
        <v>0</v>
      </c>
      <c r="H21" s="52">
        <v>2022</v>
      </c>
      <c r="I21" s="43"/>
      <c r="J21" s="48">
        <f>5740270/1.12/1000</f>
        <v>5125.2410714285706</v>
      </c>
      <c r="K21" s="49">
        <v>0</v>
      </c>
      <c r="L21" s="49">
        <f t="shared" si="0"/>
        <v>5125.2410714285706</v>
      </c>
      <c r="M21" s="47" t="str">
        <f t="shared" ref="M21:M26" si="1">Z21</f>
        <v>Договор заключен. Подрядная организация ведет подготовительные работы.</v>
      </c>
      <c r="N21" s="50">
        <f>J21</f>
        <v>5125.2410714285706</v>
      </c>
      <c r="O21" s="49">
        <v>0</v>
      </c>
      <c r="P21" s="49">
        <v>0</v>
      </c>
      <c r="Q21" s="51">
        <v>0</v>
      </c>
      <c r="R21" s="46" t="s">
        <v>47</v>
      </c>
      <c r="S21" s="52" t="s">
        <v>47</v>
      </c>
      <c r="T21" s="46" t="s">
        <v>47</v>
      </c>
      <c r="U21" s="52" t="s">
        <v>47</v>
      </c>
      <c r="V21" s="137"/>
      <c r="W21" s="139"/>
      <c r="X21" s="165"/>
      <c r="Y21" s="139"/>
      <c r="Z21" s="43" t="s">
        <v>133</v>
      </c>
      <c r="AA21" s="43" t="s">
        <v>65</v>
      </c>
      <c r="AB21" s="123">
        <f>'[1]Переход 21г+Новые 2022г'!$DU$147/1.12</f>
        <v>5.1252446428571155</v>
      </c>
      <c r="AC21" s="41">
        <v>16.395561611036999</v>
      </c>
      <c r="AD21" s="41">
        <f t="shared" ref="AD21:AD26" si="2">AC21*1000</f>
        <v>16395.561611036999</v>
      </c>
      <c r="AE21" s="40" t="b">
        <f t="shared" ref="AE21:AE26" si="3">AD21=J21</f>
        <v>0</v>
      </c>
      <c r="AF21" s="40"/>
      <c r="AG21" s="40"/>
      <c r="AH21" s="40"/>
    </row>
    <row r="22" spans="2:34" s="28" customFormat="1" ht="85.5" customHeight="1" x14ac:dyDescent="0.25">
      <c r="B22" s="73">
        <v>3</v>
      </c>
      <c r="C22" s="137"/>
      <c r="D22" s="74" t="s">
        <v>141</v>
      </c>
      <c r="E22" s="74" t="s">
        <v>35</v>
      </c>
      <c r="F22" s="74">
        <v>2</v>
      </c>
      <c r="G22" s="49">
        <v>0</v>
      </c>
      <c r="H22" s="52">
        <v>2022</v>
      </c>
      <c r="I22" s="43"/>
      <c r="J22" s="48">
        <v>24072.61</v>
      </c>
      <c r="K22" s="49">
        <v>0</v>
      </c>
      <c r="L22" s="49">
        <f t="shared" si="0"/>
        <v>24072.61</v>
      </c>
      <c r="M22" s="47" t="str">
        <f t="shared" si="1"/>
        <v>Ведутся процедуры по закупке товаров, работ и услуг</v>
      </c>
      <c r="N22" s="50">
        <v>0</v>
      </c>
      <c r="O22" s="49">
        <f>J22</f>
        <v>24072.61</v>
      </c>
      <c r="P22" s="49">
        <v>0</v>
      </c>
      <c r="Q22" s="51">
        <v>0</v>
      </c>
      <c r="R22" s="46" t="s">
        <v>47</v>
      </c>
      <c r="S22" s="52" t="s">
        <v>47</v>
      </c>
      <c r="T22" s="46" t="s">
        <v>47</v>
      </c>
      <c r="U22" s="52" t="s">
        <v>47</v>
      </c>
      <c r="V22" s="137"/>
      <c r="W22" s="139"/>
      <c r="X22" s="165"/>
      <c r="Y22" s="139"/>
      <c r="Z22" s="43" t="s">
        <v>64</v>
      </c>
      <c r="AA22" s="43" t="s">
        <v>65</v>
      </c>
      <c r="AB22" s="123">
        <f>'[1]Переход 21г+Новые 2022г'!$DU$148/1.12</f>
        <v>22.633928571428569</v>
      </c>
      <c r="AC22" s="41">
        <f>'[2]ИП 21_на 01.07.'!$BI$187/1.12</f>
        <v>2.8</v>
      </c>
      <c r="AD22" s="41">
        <f t="shared" si="2"/>
        <v>2800</v>
      </c>
      <c r="AE22" s="40" t="b">
        <f t="shared" si="3"/>
        <v>0</v>
      </c>
      <c r="AF22" s="40"/>
      <c r="AG22" s="40"/>
      <c r="AH22" s="40"/>
    </row>
    <row r="23" spans="2:34" s="28" customFormat="1" ht="76.5" customHeight="1" x14ac:dyDescent="0.25">
      <c r="B23" s="73">
        <v>4</v>
      </c>
      <c r="C23" s="137"/>
      <c r="D23" s="74" t="s">
        <v>142</v>
      </c>
      <c r="E23" s="74" t="s">
        <v>35</v>
      </c>
      <c r="F23" s="74" t="s">
        <v>44</v>
      </c>
      <c r="G23" s="74">
        <v>1</v>
      </c>
      <c r="H23" s="52">
        <v>2022</v>
      </c>
      <c r="I23" s="43"/>
      <c r="J23" s="48">
        <f>827568/1.12/1000</f>
        <v>738.89999999999986</v>
      </c>
      <c r="K23" s="49">
        <f>J23</f>
        <v>738.89999999999986</v>
      </c>
      <c r="L23" s="49">
        <f t="shared" si="0"/>
        <v>0</v>
      </c>
      <c r="M23" s="47" t="str">
        <f t="shared" si="1"/>
        <v>Договор заключен. Ожидается поставка ТМЦ.</v>
      </c>
      <c r="N23" s="50">
        <f>J23</f>
        <v>738.89999999999986</v>
      </c>
      <c r="O23" s="49">
        <v>0</v>
      </c>
      <c r="P23" s="49">
        <v>0</v>
      </c>
      <c r="Q23" s="51">
        <v>0</v>
      </c>
      <c r="R23" s="46" t="s">
        <v>47</v>
      </c>
      <c r="S23" s="52" t="s">
        <v>47</v>
      </c>
      <c r="T23" s="46" t="s">
        <v>47</v>
      </c>
      <c r="U23" s="52" t="s">
        <v>47</v>
      </c>
      <c r="V23" s="137"/>
      <c r="W23" s="139"/>
      <c r="X23" s="165"/>
      <c r="Y23" s="139"/>
      <c r="Z23" s="43" t="s">
        <v>129</v>
      </c>
      <c r="AA23" s="43" t="s">
        <v>65</v>
      </c>
      <c r="AB23" s="123">
        <f>'[1]Переход 21г+Новые 2022г'!$DU$149/1.12</f>
        <v>0.73964285714285705</v>
      </c>
      <c r="AC23" s="41">
        <f>'[2]ИП 21_на 01.07.'!$BI$188/1.12</f>
        <v>30.410000000000007</v>
      </c>
      <c r="AD23" s="41">
        <f t="shared" si="2"/>
        <v>30410.000000000007</v>
      </c>
      <c r="AE23" s="40" t="b">
        <f t="shared" si="3"/>
        <v>0</v>
      </c>
      <c r="AF23" s="40"/>
      <c r="AG23" s="40"/>
      <c r="AH23" s="40"/>
    </row>
    <row r="24" spans="2:34" s="28" customFormat="1" ht="78" customHeight="1" x14ac:dyDescent="0.25">
      <c r="B24" s="73">
        <v>5</v>
      </c>
      <c r="C24" s="137"/>
      <c r="D24" s="74" t="s">
        <v>143</v>
      </c>
      <c r="E24" s="74" t="s">
        <v>35</v>
      </c>
      <c r="F24" s="74">
        <v>2</v>
      </c>
      <c r="G24" s="49">
        <v>0</v>
      </c>
      <c r="H24" s="52">
        <v>2022</v>
      </c>
      <c r="I24" s="43"/>
      <c r="J24" s="48">
        <f>1999200/1.12/1000</f>
        <v>1784.9999999999998</v>
      </c>
      <c r="K24" s="48">
        <v>0</v>
      </c>
      <c r="L24" s="49">
        <f t="shared" si="0"/>
        <v>1784.9999999999998</v>
      </c>
      <c r="M24" s="47" t="str">
        <f t="shared" si="1"/>
        <v>Договор заключен. Ожидается поставка ТМЦ.</v>
      </c>
      <c r="N24" s="50">
        <v>143.67839285715309</v>
      </c>
      <c r="O24" s="49">
        <v>1641.3216071428467</v>
      </c>
      <c r="P24" s="49">
        <v>0</v>
      </c>
      <c r="Q24" s="51">
        <v>0</v>
      </c>
      <c r="R24" s="46" t="s">
        <v>47</v>
      </c>
      <c r="S24" s="52" t="s">
        <v>47</v>
      </c>
      <c r="T24" s="46" t="s">
        <v>47</v>
      </c>
      <c r="U24" s="52" t="s">
        <v>47</v>
      </c>
      <c r="V24" s="137"/>
      <c r="W24" s="139"/>
      <c r="X24" s="165"/>
      <c r="Y24" s="139"/>
      <c r="Z24" s="43" t="s">
        <v>129</v>
      </c>
      <c r="AA24" s="43" t="s">
        <v>65</v>
      </c>
      <c r="AB24" s="123">
        <f>'[1]Переход 21г+Новые 2022г'!$DU$150/1.12</f>
        <v>1.7849999999999999</v>
      </c>
      <c r="AC24" s="41">
        <f>'[2]ИП 21_на 01.07.'!$BI$189/1.12</f>
        <v>16.899999999999999</v>
      </c>
      <c r="AD24" s="41">
        <f t="shared" si="2"/>
        <v>16900</v>
      </c>
      <c r="AE24" s="40" t="b">
        <f t="shared" si="3"/>
        <v>0</v>
      </c>
      <c r="AF24" s="40"/>
      <c r="AG24" s="40"/>
      <c r="AH24" s="40"/>
    </row>
    <row r="25" spans="2:34" s="28" customFormat="1" ht="112.5" customHeight="1" x14ac:dyDescent="0.25">
      <c r="B25" s="73">
        <v>6</v>
      </c>
      <c r="C25" s="137"/>
      <c r="D25" s="74" t="s">
        <v>82</v>
      </c>
      <c r="E25" s="74" t="s">
        <v>35</v>
      </c>
      <c r="F25" s="74" t="s">
        <v>44</v>
      </c>
      <c r="G25" s="49">
        <v>0</v>
      </c>
      <c r="H25" s="52">
        <v>2022</v>
      </c>
      <c r="I25" s="43"/>
      <c r="J25" s="48">
        <f>(136744870+2317097+662592)/1.12/1000</f>
        <v>124754.07053571427</v>
      </c>
      <c r="K25" s="49">
        <v>0</v>
      </c>
      <c r="L25" s="49">
        <f t="shared" si="0"/>
        <v>124754.07053571427</v>
      </c>
      <c r="M25" s="47" t="str">
        <f t="shared" si="1"/>
        <v>Договор заключен. Подрядная организация ведет подготовительные работы.</v>
      </c>
      <c r="N25" s="50">
        <f>J25</f>
        <v>124754.07053571427</v>
      </c>
      <c r="O25" s="49">
        <v>0</v>
      </c>
      <c r="P25" s="49">
        <v>0</v>
      </c>
      <c r="Q25" s="51">
        <v>0</v>
      </c>
      <c r="R25" s="46" t="s">
        <v>47</v>
      </c>
      <c r="S25" s="52" t="s">
        <v>47</v>
      </c>
      <c r="T25" s="46" t="s">
        <v>47</v>
      </c>
      <c r="U25" s="52" t="s">
        <v>47</v>
      </c>
      <c r="V25" s="137"/>
      <c r="W25" s="139"/>
      <c r="X25" s="165"/>
      <c r="Y25" s="139"/>
      <c r="Z25" s="43" t="s">
        <v>133</v>
      </c>
      <c r="AA25" s="43" t="s">
        <v>65</v>
      </c>
      <c r="AB25" s="123">
        <f>139.724554/1.12</f>
        <v>124.75406607142857</v>
      </c>
      <c r="AC25" s="41">
        <f>'[2]ИП 21_на 01.07.'!$BI$190/1.12</f>
        <v>10.300999999999998</v>
      </c>
      <c r="AD25" s="41">
        <f t="shared" si="2"/>
        <v>10300.999999999998</v>
      </c>
      <c r="AE25" s="40" t="b">
        <f t="shared" si="3"/>
        <v>0</v>
      </c>
      <c r="AF25" s="40"/>
      <c r="AG25" s="40"/>
      <c r="AH25" s="40"/>
    </row>
    <row r="26" spans="2:34" s="28" customFormat="1" ht="105.75" customHeight="1" thickBot="1" x14ac:dyDescent="0.3">
      <c r="B26" s="80">
        <v>7</v>
      </c>
      <c r="C26" s="138"/>
      <c r="D26" s="81" t="s">
        <v>46</v>
      </c>
      <c r="E26" s="81" t="s">
        <v>45</v>
      </c>
      <c r="F26" s="81">
        <v>1</v>
      </c>
      <c r="G26" s="61">
        <v>0</v>
      </c>
      <c r="H26" s="65">
        <v>2022</v>
      </c>
      <c r="I26" s="55"/>
      <c r="J26" s="60">
        <f>(91010370+1092747+235200)/1.12/1000</f>
        <v>82444.925892857136</v>
      </c>
      <c r="K26" s="61">
        <v>0</v>
      </c>
      <c r="L26" s="82">
        <f t="shared" si="0"/>
        <v>82444.925892857136</v>
      </c>
      <c r="M26" s="59" t="str">
        <f t="shared" si="1"/>
        <v>Договор заключен. Подрядная организация ведет подготовительные работы.</v>
      </c>
      <c r="N26" s="63">
        <v>0</v>
      </c>
      <c r="O26" s="61">
        <f>J26</f>
        <v>82444.925892857136</v>
      </c>
      <c r="P26" s="61">
        <v>0</v>
      </c>
      <c r="Q26" s="64">
        <v>0</v>
      </c>
      <c r="R26" s="58" t="s">
        <v>47</v>
      </c>
      <c r="S26" s="65" t="s">
        <v>47</v>
      </c>
      <c r="T26" s="58" t="s">
        <v>47</v>
      </c>
      <c r="U26" s="65" t="s">
        <v>47</v>
      </c>
      <c r="V26" s="138"/>
      <c r="W26" s="140"/>
      <c r="X26" s="160"/>
      <c r="Y26" s="140"/>
      <c r="Z26" s="55" t="s">
        <v>133</v>
      </c>
      <c r="AA26" s="55" t="s">
        <v>65</v>
      </c>
      <c r="AB26" s="123">
        <f>93.94999552/1.12</f>
        <v>83.883924571428565</v>
      </c>
      <c r="AC26" s="41">
        <f>'[2]ИП 21_на 01.07.'!$BI$191/1.12</f>
        <v>53.856988379277851</v>
      </c>
      <c r="AD26" s="41">
        <f t="shared" si="2"/>
        <v>53856.988379277849</v>
      </c>
      <c r="AE26" s="40" t="b">
        <f t="shared" si="3"/>
        <v>0</v>
      </c>
      <c r="AF26" s="40"/>
      <c r="AG26" s="40"/>
      <c r="AH26" s="40"/>
    </row>
    <row r="27" spans="2:34" s="28" customFormat="1" x14ac:dyDescent="0.25">
      <c r="AB27" s="122"/>
      <c r="AC27" s="29"/>
      <c r="AD27" s="29"/>
    </row>
    <row r="28" spans="2:34" s="28" customFormat="1" x14ac:dyDescent="0.25">
      <c r="AB28" s="122"/>
      <c r="AC28" s="29"/>
      <c r="AD28" s="29"/>
    </row>
    <row r="29" spans="2:34" s="28" customFormat="1" x14ac:dyDescent="0.25">
      <c r="AB29" s="122"/>
      <c r="AC29" s="29"/>
      <c r="AD29" s="29"/>
    </row>
    <row r="30" spans="2:34" s="28" customFormat="1" x14ac:dyDescent="0.25">
      <c r="K30" s="66"/>
      <c r="L30" s="124"/>
      <c r="M30" s="125"/>
      <c r="AB30" s="122"/>
      <c r="AC30" s="29"/>
      <c r="AD30" s="29"/>
    </row>
    <row r="31" spans="2:34" s="28" customFormat="1" x14ac:dyDescent="0.25">
      <c r="M31" s="125"/>
      <c r="AB31" s="122"/>
      <c r="AC31" s="29"/>
      <c r="AD31" s="29"/>
    </row>
    <row r="32" spans="2:34" s="28" customFormat="1" x14ac:dyDescent="0.25">
      <c r="AB32" s="122"/>
      <c r="AC32" s="29"/>
      <c r="AD32" s="29"/>
    </row>
    <row r="33" spans="28:30" s="28" customFormat="1" x14ac:dyDescent="0.25">
      <c r="AB33" s="122"/>
      <c r="AC33" s="29"/>
      <c r="AD33" s="29"/>
    </row>
    <row r="34" spans="28:30" s="28" customFormat="1" x14ac:dyDescent="0.25">
      <c r="AB34" s="122"/>
      <c r="AC34" s="29"/>
      <c r="AD34" s="29"/>
    </row>
    <row r="35" spans="28:30" s="28" customFormat="1" x14ac:dyDescent="0.25">
      <c r="AB35" s="122"/>
      <c r="AC35" s="29"/>
      <c r="AD35" s="29"/>
    </row>
    <row r="36" spans="28:30" s="28" customFormat="1" x14ac:dyDescent="0.25">
      <c r="AB36" s="122"/>
      <c r="AC36" s="29"/>
      <c r="AD36" s="29"/>
    </row>
    <row r="37" spans="28:30" s="28" customFormat="1" x14ac:dyDescent="0.25">
      <c r="AB37" s="122"/>
      <c r="AC37" s="29"/>
      <c r="AD37" s="29"/>
    </row>
    <row r="38" spans="28:30" s="28" customFormat="1" x14ac:dyDescent="0.25">
      <c r="AB38" s="122"/>
      <c r="AC38" s="29"/>
      <c r="AD38" s="29"/>
    </row>
    <row r="39" spans="28:30" s="28" customFormat="1" x14ac:dyDescent="0.25">
      <c r="AB39" s="122"/>
      <c r="AC39" s="29"/>
      <c r="AD39" s="29"/>
    </row>
    <row r="40" spans="28:30" s="28" customFormat="1" x14ac:dyDescent="0.25">
      <c r="AB40" s="122"/>
      <c r="AC40" s="29"/>
      <c r="AD40" s="29"/>
    </row>
    <row r="41" spans="28:30" s="28" customFormat="1" x14ac:dyDescent="0.25">
      <c r="AB41" s="122"/>
      <c r="AC41" s="29"/>
      <c r="AD41" s="29"/>
    </row>
    <row r="42" spans="28:30" s="28" customFormat="1" x14ac:dyDescent="0.25">
      <c r="AB42" s="122"/>
      <c r="AC42" s="29"/>
      <c r="AD42" s="29"/>
    </row>
    <row r="43" spans="28:30" s="28" customFormat="1" x14ac:dyDescent="0.25">
      <c r="AB43" s="122"/>
      <c r="AC43" s="29"/>
      <c r="AD43" s="29"/>
    </row>
    <row r="44" spans="28:30" s="28" customFormat="1" x14ac:dyDescent="0.25">
      <c r="AB44" s="122"/>
      <c r="AC44" s="29"/>
      <c r="AD44" s="29"/>
    </row>
    <row r="45" spans="28:30" s="28" customFormat="1" x14ac:dyDescent="0.25">
      <c r="AB45" s="122"/>
      <c r="AC45" s="29"/>
      <c r="AD45" s="29"/>
    </row>
    <row r="46" spans="28:30" s="28" customFormat="1" x14ac:dyDescent="0.25">
      <c r="AB46" s="122"/>
      <c r="AC46" s="29"/>
      <c r="AD46" s="29"/>
    </row>
    <row r="47" spans="28:30" s="28" customFormat="1" x14ac:dyDescent="0.25">
      <c r="AB47" s="122"/>
      <c r="AC47" s="29"/>
      <c r="AD47" s="29"/>
    </row>
    <row r="48" spans="28:30" s="28" customFormat="1" x14ac:dyDescent="0.25">
      <c r="AB48" s="122"/>
      <c r="AC48" s="29"/>
      <c r="AD48" s="29"/>
    </row>
    <row r="49" spans="28:30" s="28" customFormat="1" x14ac:dyDescent="0.25">
      <c r="AB49" s="122"/>
      <c r="AC49" s="29"/>
      <c r="AD49" s="29"/>
    </row>
    <row r="50" spans="28:30" s="28" customFormat="1" x14ac:dyDescent="0.25">
      <c r="AB50" s="122"/>
      <c r="AC50" s="29"/>
      <c r="AD50" s="29"/>
    </row>
    <row r="51" spans="28:30" s="28" customFormat="1" x14ac:dyDescent="0.25">
      <c r="AB51" s="122"/>
      <c r="AC51" s="29"/>
      <c r="AD51" s="29"/>
    </row>
    <row r="52" spans="28:30" s="28" customFormat="1" x14ac:dyDescent="0.25">
      <c r="AB52" s="122"/>
      <c r="AC52" s="29"/>
      <c r="AD52" s="29"/>
    </row>
    <row r="53" spans="28:30" s="28" customFormat="1" x14ac:dyDescent="0.25">
      <c r="AB53" s="122"/>
      <c r="AC53" s="29"/>
      <c r="AD53" s="29"/>
    </row>
    <row r="54" spans="28:30" s="28" customFormat="1" x14ac:dyDescent="0.25">
      <c r="AB54" s="122"/>
      <c r="AC54" s="29"/>
      <c r="AD54" s="29"/>
    </row>
    <row r="55" spans="28:30" s="28" customFormat="1" x14ac:dyDescent="0.25">
      <c r="AB55" s="122"/>
      <c r="AC55" s="29"/>
      <c r="AD55" s="29"/>
    </row>
    <row r="56" spans="28:30" s="28" customFormat="1" x14ac:dyDescent="0.25">
      <c r="AB56" s="122"/>
      <c r="AC56" s="29"/>
      <c r="AD56" s="29"/>
    </row>
    <row r="57" spans="28:30" s="28" customFormat="1" x14ac:dyDescent="0.25">
      <c r="AB57" s="122"/>
      <c r="AC57" s="29"/>
      <c r="AD57" s="29"/>
    </row>
    <row r="58" spans="28:30" s="28" customFormat="1" x14ac:dyDescent="0.25">
      <c r="AB58" s="122"/>
      <c r="AC58" s="29"/>
      <c r="AD58" s="29"/>
    </row>
    <row r="59" spans="28:30" s="28" customFormat="1" x14ac:dyDescent="0.25">
      <c r="AB59" s="122"/>
      <c r="AC59" s="29"/>
      <c r="AD59" s="29"/>
    </row>
    <row r="60" spans="28:30" s="28" customFormat="1" x14ac:dyDescent="0.25">
      <c r="AB60" s="122"/>
      <c r="AC60" s="29"/>
      <c r="AD60" s="29"/>
    </row>
    <row r="61" spans="28:30" s="28" customFormat="1" x14ac:dyDescent="0.25">
      <c r="AB61" s="122"/>
      <c r="AC61" s="29"/>
      <c r="AD61" s="29"/>
    </row>
    <row r="62" spans="28:30" s="28" customFormat="1" x14ac:dyDescent="0.25">
      <c r="AB62" s="122"/>
      <c r="AC62" s="29"/>
      <c r="AD62" s="29"/>
    </row>
    <row r="63" spans="28:30" s="28" customFormat="1" x14ac:dyDescent="0.25">
      <c r="AB63" s="122"/>
      <c r="AC63" s="29"/>
      <c r="AD63" s="29"/>
    </row>
    <row r="64" spans="28:30" s="28" customFormat="1" x14ac:dyDescent="0.25">
      <c r="AB64" s="122"/>
      <c r="AC64" s="29"/>
      <c r="AD64" s="29"/>
    </row>
    <row r="65" spans="28:30" s="28" customFormat="1" x14ac:dyDescent="0.25">
      <c r="AB65" s="122"/>
      <c r="AC65" s="29"/>
      <c r="AD65" s="29"/>
    </row>
    <row r="66" spans="28:30" s="28" customFormat="1" x14ac:dyDescent="0.25">
      <c r="AB66" s="122"/>
      <c r="AC66" s="29"/>
      <c r="AD66" s="29"/>
    </row>
    <row r="67" spans="28:30" s="28" customFormat="1" x14ac:dyDescent="0.25">
      <c r="AB67" s="122"/>
      <c r="AC67" s="29"/>
      <c r="AD67" s="29"/>
    </row>
    <row r="68" spans="28:30" s="28" customFormat="1" x14ac:dyDescent="0.25">
      <c r="AB68" s="122"/>
      <c r="AC68" s="29"/>
      <c r="AD68" s="29"/>
    </row>
    <row r="69" spans="28:30" s="28" customFormat="1" x14ac:dyDescent="0.25">
      <c r="AB69" s="122"/>
      <c r="AC69" s="29"/>
      <c r="AD69" s="29"/>
    </row>
    <row r="70" spans="28:30" s="28" customFormat="1" x14ac:dyDescent="0.25">
      <c r="AB70" s="122"/>
      <c r="AC70" s="29"/>
      <c r="AD70" s="29"/>
    </row>
    <row r="71" spans="28:30" s="28" customFormat="1" x14ac:dyDescent="0.25">
      <c r="AB71" s="122"/>
      <c r="AC71" s="29"/>
      <c r="AD71" s="29"/>
    </row>
    <row r="72" spans="28:30" s="28" customFormat="1" x14ac:dyDescent="0.25">
      <c r="AB72" s="122"/>
      <c r="AC72" s="29"/>
      <c r="AD72" s="29"/>
    </row>
    <row r="73" spans="28:30" s="28" customFormat="1" x14ac:dyDescent="0.25">
      <c r="AB73" s="122"/>
      <c r="AC73" s="29"/>
      <c r="AD73" s="29"/>
    </row>
    <row r="74" spans="28:30" s="28" customFormat="1" x14ac:dyDescent="0.25">
      <c r="AB74" s="122"/>
      <c r="AC74" s="29"/>
      <c r="AD74" s="29"/>
    </row>
    <row r="75" spans="28:30" s="28" customFormat="1" x14ac:dyDescent="0.25">
      <c r="AB75" s="122"/>
      <c r="AC75" s="29"/>
      <c r="AD75" s="29"/>
    </row>
    <row r="76" spans="28:30" s="28" customFormat="1" x14ac:dyDescent="0.25">
      <c r="AB76" s="122"/>
      <c r="AC76" s="29"/>
      <c r="AD76" s="29"/>
    </row>
    <row r="77" spans="28:30" s="28" customFormat="1" x14ac:dyDescent="0.25">
      <c r="AB77" s="122"/>
      <c r="AC77" s="29"/>
      <c r="AD77" s="29"/>
    </row>
    <row r="78" spans="28:30" s="28" customFormat="1" x14ac:dyDescent="0.25">
      <c r="AB78" s="122"/>
      <c r="AC78" s="29"/>
      <c r="AD78" s="29"/>
    </row>
    <row r="79" spans="28:30" s="28" customFormat="1" x14ac:dyDescent="0.25">
      <c r="AB79" s="122"/>
      <c r="AC79" s="29"/>
      <c r="AD79" s="29"/>
    </row>
    <row r="80" spans="28:30" s="28" customFormat="1" x14ac:dyDescent="0.25">
      <c r="AB80" s="122"/>
      <c r="AC80" s="29"/>
      <c r="AD80" s="29"/>
    </row>
    <row r="81" spans="28:30" s="28" customFormat="1" x14ac:dyDescent="0.25">
      <c r="AB81" s="122"/>
      <c r="AC81" s="29"/>
      <c r="AD81" s="29"/>
    </row>
    <row r="82" spans="28:30" s="28" customFormat="1" x14ac:dyDescent="0.25">
      <c r="AB82" s="122"/>
      <c r="AC82" s="29"/>
      <c r="AD82" s="29"/>
    </row>
    <row r="83" spans="28:30" s="28" customFormat="1" x14ac:dyDescent="0.25">
      <c r="AB83" s="122"/>
      <c r="AC83" s="29"/>
      <c r="AD83" s="29"/>
    </row>
    <row r="84" spans="28:30" s="28" customFormat="1" x14ac:dyDescent="0.25">
      <c r="AB84" s="122"/>
      <c r="AC84" s="29"/>
      <c r="AD84" s="29"/>
    </row>
    <row r="85" spans="28:30" s="28" customFormat="1" x14ac:dyDescent="0.25">
      <c r="AB85" s="122"/>
      <c r="AC85" s="29"/>
      <c r="AD85" s="29"/>
    </row>
    <row r="86" spans="28:30" s="28" customFormat="1" x14ac:dyDescent="0.25">
      <c r="AB86" s="122"/>
      <c r="AC86" s="29"/>
      <c r="AD86" s="29"/>
    </row>
    <row r="87" spans="28:30" s="28" customFormat="1" x14ac:dyDescent="0.25">
      <c r="AB87" s="122"/>
      <c r="AC87" s="29"/>
      <c r="AD87" s="29"/>
    </row>
    <row r="88" spans="28:30" s="28" customFormat="1" x14ac:dyDescent="0.25">
      <c r="AB88" s="122"/>
      <c r="AC88" s="29"/>
      <c r="AD88" s="29"/>
    </row>
    <row r="89" spans="28:30" s="28" customFormat="1" x14ac:dyDescent="0.25">
      <c r="AB89" s="122"/>
      <c r="AC89" s="29"/>
      <c r="AD89" s="29"/>
    </row>
    <row r="90" spans="28:30" s="28" customFormat="1" x14ac:dyDescent="0.25">
      <c r="AB90" s="122"/>
      <c r="AC90" s="29"/>
      <c r="AD90" s="29"/>
    </row>
    <row r="91" spans="28:30" s="28" customFormat="1" x14ac:dyDescent="0.25">
      <c r="AB91" s="122"/>
      <c r="AC91" s="29"/>
      <c r="AD91" s="29"/>
    </row>
    <row r="92" spans="28:30" s="28" customFormat="1" x14ac:dyDescent="0.25">
      <c r="AB92" s="122"/>
      <c r="AC92" s="29"/>
      <c r="AD92" s="29"/>
    </row>
    <row r="93" spans="28:30" s="28" customFormat="1" x14ac:dyDescent="0.25">
      <c r="AB93" s="122"/>
      <c r="AC93" s="29"/>
      <c r="AD93" s="29"/>
    </row>
    <row r="94" spans="28:30" s="28" customFormat="1" x14ac:dyDescent="0.25">
      <c r="AB94" s="122"/>
      <c r="AC94" s="29"/>
      <c r="AD94" s="29"/>
    </row>
    <row r="95" spans="28:30" s="28" customFormat="1" x14ac:dyDescent="0.25">
      <c r="AB95" s="122"/>
      <c r="AC95" s="29"/>
      <c r="AD95" s="29"/>
    </row>
    <row r="96" spans="28:30" s="28" customFormat="1" x14ac:dyDescent="0.25">
      <c r="AB96" s="122"/>
      <c r="AC96" s="29"/>
      <c r="AD96" s="29"/>
    </row>
    <row r="97" spans="28:30" s="28" customFormat="1" x14ac:dyDescent="0.25">
      <c r="AB97" s="122"/>
      <c r="AC97" s="29"/>
      <c r="AD97" s="29"/>
    </row>
    <row r="98" spans="28:30" s="28" customFormat="1" x14ac:dyDescent="0.25">
      <c r="AB98" s="122"/>
      <c r="AC98" s="29"/>
      <c r="AD98" s="29"/>
    </row>
    <row r="99" spans="28:30" s="28" customFormat="1" x14ac:dyDescent="0.25">
      <c r="AB99" s="122"/>
      <c r="AC99" s="29"/>
      <c r="AD99" s="29"/>
    </row>
    <row r="100" spans="28:30" s="28" customFormat="1" x14ac:dyDescent="0.25">
      <c r="AB100" s="122"/>
      <c r="AC100" s="29"/>
      <c r="AD100" s="29"/>
    </row>
    <row r="101" spans="28:30" s="28" customFormat="1" x14ac:dyDescent="0.25">
      <c r="AB101" s="122"/>
      <c r="AC101" s="29"/>
      <c r="AD101" s="29"/>
    </row>
    <row r="102" spans="28:30" s="28" customFormat="1" x14ac:dyDescent="0.25">
      <c r="AB102" s="122"/>
      <c r="AC102" s="29"/>
      <c r="AD102" s="29"/>
    </row>
    <row r="103" spans="28:30" s="28" customFormat="1" x14ac:dyDescent="0.25">
      <c r="AB103" s="122"/>
      <c r="AC103" s="29"/>
      <c r="AD103" s="29"/>
    </row>
    <row r="104" spans="28:30" s="28" customFormat="1" x14ac:dyDescent="0.25">
      <c r="AB104" s="122"/>
      <c r="AC104" s="29"/>
      <c r="AD104" s="29"/>
    </row>
    <row r="105" spans="28:30" s="28" customFormat="1" x14ac:dyDescent="0.25">
      <c r="AB105" s="122"/>
      <c r="AC105" s="29"/>
      <c r="AD105" s="29"/>
    </row>
    <row r="106" spans="28:30" s="28" customFormat="1" x14ac:dyDescent="0.25">
      <c r="AB106" s="122"/>
      <c r="AC106" s="29"/>
      <c r="AD106" s="29"/>
    </row>
    <row r="107" spans="28:30" s="28" customFormat="1" x14ac:dyDescent="0.25">
      <c r="AB107" s="122"/>
      <c r="AC107" s="29"/>
      <c r="AD107" s="29"/>
    </row>
    <row r="108" spans="28:30" s="28" customFormat="1" x14ac:dyDescent="0.25">
      <c r="AB108" s="122"/>
      <c r="AC108" s="29"/>
      <c r="AD108" s="29"/>
    </row>
    <row r="109" spans="28:30" s="28" customFormat="1" x14ac:dyDescent="0.25">
      <c r="AB109" s="122"/>
      <c r="AC109" s="29"/>
      <c r="AD109" s="29"/>
    </row>
    <row r="110" spans="28:30" s="28" customFormat="1" x14ac:dyDescent="0.25">
      <c r="AB110" s="122"/>
      <c r="AC110" s="29"/>
      <c r="AD110" s="29"/>
    </row>
    <row r="111" spans="28:30" s="28" customFormat="1" x14ac:dyDescent="0.25">
      <c r="AB111" s="122"/>
      <c r="AC111" s="29"/>
      <c r="AD111" s="29"/>
    </row>
    <row r="112" spans="28:30" s="28" customFormat="1" x14ac:dyDescent="0.25">
      <c r="AB112" s="122"/>
      <c r="AC112" s="29"/>
      <c r="AD112" s="29"/>
    </row>
    <row r="113" spans="28:30" s="28" customFormat="1" x14ac:dyDescent="0.25">
      <c r="AB113" s="122"/>
      <c r="AC113" s="29"/>
      <c r="AD113" s="29"/>
    </row>
    <row r="114" spans="28:30" s="28" customFormat="1" x14ac:dyDescent="0.25">
      <c r="AB114" s="122"/>
      <c r="AC114" s="29"/>
      <c r="AD114" s="29"/>
    </row>
    <row r="115" spans="28:30" s="28" customFormat="1" x14ac:dyDescent="0.25">
      <c r="AB115" s="122"/>
      <c r="AC115" s="29"/>
      <c r="AD115" s="29"/>
    </row>
    <row r="116" spans="28:30" s="28" customFormat="1" x14ac:dyDescent="0.25">
      <c r="AB116" s="122"/>
      <c r="AC116" s="29"/>
      <c r="AD116" s="29"/>
    </row>
    <row r="117" spans="28:30" s="28" customFormat="1" x14ac:dyDescent="0.25">
      <c r="AB117" s="122"/>
      <c r="AC117" s="29"/>
      <c r="AD117" s="29"/>
    </row>
    <row r="118" spans="28:30" s="28" customFormat="1" x14ac:dyDescent="0.25">
      <c r="AB118" s="122"/>
      <c r="AC118" s="29"/>
      <c r="AD118" s="29"/>
    </row>
    <row r="119" spans="28:30" s="28" customFormat="1" x14ac:dyDescent="0.25">
      <c r="AB119" s="122"/>
      <c r="AC119" s="29"/>
      <c r="AD119" s="29"/>
    </row>
    <row r="120" spans="28:30" s="28" customFormat="1" x14ac:dyDescent="0.25">
      <c r="AB120" s="122"/>
      <c r="AC120" s="29"/>
      <c r="AD120" s="29"/>
    </row>
    <row r="121" spans="28:30" s="28" customFormat="1" x14ac:dyDescent="0.25">
      <c r="AB121" s="122"/>
      <c r="AC121" s="29"/>
      <c r="AD121" s="29"/>
    </row>
    <row r="122" spans="28:30" s="28" customFormat="1" x14ac:dyDescent="0.25">
      <c r="AB122" s="122"/>
      <c r="AC122" s="29"/>
      <c r="AD122" s="29"/>
    </row>
    <row r="123" spans="28:30" s="28" customFormat="1" x14ac:dyDescent="0.25">
      <c r="AB123" s="122"/>
      <c r="AC123" s="29"/>
      <c r="AD123" s="29"/>
    </row>
    <row r="124" spans="28:30" s="28" customFormat="1" x14ac:dyDescent="0.25">
      <c r="AB124" s="122"/>
      <c r="AC124" s="29"/>
      <c r="AD124" s="29"/>
    </row>
    <row r="125" spans="28:30" s="28" customFormat="1" x14ac:dyDescent="0.25">
      <c r="AB125" s="122"/>
      <c r="AC125" s="29"/>
      <c r="AD125" s="29"/>
    </row>
    <row r="126" spans="28:30" s="28" customFormat="1" x14ac:dyDescent="0.25">
      <c r="AB126" s="122"/>
      <c r="AC126" s="29"/>
      <c r="AD126" s="29"/>
    </row>
    <row r="127" spans="28:30" s="28" customFormat="1" x14ac:dyDescent="0.25">
      <c r="AB127" s="122"/>
      <c r="AC127" s="29"/>
      <c r="AD127" s="29"/>
    </row>
    <row r="128" spans="28:30" s="28" customFormat="1" x14ac:dyDescent="0.25">
      <c r="AB128" s="122"/>
      <c r="AC128" s="29"/>
      <c r="AD128" s="29"/>
    </row>
    <row r="129" spans="28:30" s="28" customFormat="1" x14ac:dyDescent="0.25">
      <c r="AB129" s="122"/>
      <c r="AC129" s="29"/>
      <c r="AD129" s="29"/>
    </row>
    <row r="130" spans="28:30" s="28" customFormat="1" x14ac:dyDescent="0.25">
      <c r="AB130" s="122"/>
      <c r="AC130" s="29"/>
      <c r="AD130" s="29"/>
    </row>
    <row r="131" spans="28:30" s="28" customFormat="1" x14ac:dyDescent="0.25">
      <c r="AB131" s="122"/>
      <c r="AC131" s="29"/>
      <c r="AD131" s="29"/>
    </row>
    <row r="132" spans="28:30" s="28" customFormat="1" x14ac:dyDescent="0.25">
      <c r="AB132" s="122"/>
      <c r="AC132" s="29"/>
      <c r="AD132" s="29"/>
    </row>
    <row r="133" spans="28:30" s="28" customFormat="1" x14ac:dyDescent="0.25">
      <c r="AB133" s="122"/>
      <c r="AC133" s="29"/>
      <c r="AD133" s="29"/>
    </row>
    <row r="134" spans="28:30" s="28" customFormat="1" x14ac:dyDescent="0.25">
      <c r="AB134" s="122"/>
      <c r="AC134" s="29"/>
      <c r="AD134" s="29"/>
    </row>
    <row r="135" spans="28:30" s="28" customFormat="1" x14ac:dyDescent="0.25">
      <c r="AB135" s="122"/>
      <c r="AC135" s="29"/>
      <c r="AD135" s="29"/>
    </row>
    <row r="136" spans="28:30" s="28" customFormat="1" x14ac:dyDescent="0.25">
      <c r="AB136" s="122"/>
      <c r="AC136" s="29"/>
      <c r="AD136" s="29"/>
    </row>
    <row r="137" spans="28:30" s="28" customFormat="1" x14ac:dyDescent="0.25">
      <c r="AB137" s="122"/>
      <c r="AC137" s="29"/>
      <c r="AD137" s="29"/>
    </row>
    <row r="138" spans="28:30" s="28" customFormat="1" x14ac:dyDescent="0.25">
      <c r="AB138" s="122"/>
      <c r="AC138" s="29"/>
      <c r="AD138" s="29"/>
    </row>
    <row r="139" spans="28:30" s="28" customFormat="1" x14ac:dyDescent="0.25">
      <c r="AB139" s="122"/>
      <c r="AC139" s="29"/>
      <c r="AD139" s="29"/>
    </row>
    <row r="140" spans="28:30" s="28" customFormat="1" x14ac:dyDescent="0.25">
      <c r="AB140" s="122"/>
      <c r="AC140" s="29"/>
      <c r="AD140" s="29"/>
    </row>
    <row r="141" spans="28:30" s="28" customFormat="1" x14ac:dyDescent="0.25">
      <c r="AB141" s="122"/>
      <c r="AC141" s="29"/>
      <c r="AD141" s="29"/>
    </row>
    <row r="142" spans="28:30" s="28" customFormat="1" x14ac:dyDescent="0.25">
      <c r="AB142" s="122"/>
      <c r="AC142" s="29"/>
      <c r="AD142" s="29"/>
    </row>
    <row r="143" spans="28:30" s="28" customFormat="1" x14ac:dyDescent="0.25">
      <c r="AB143" s="122"/>
      <c r="AC143" s="29"/>
      <c r="AD143" s="29"/>
    </row>
    <row r="144" spans="28:30" s="28" customFormat="1" x14ac:dyDescent="0.25">
      <c r="AB144" s="122"/>
      <c r="AC144" s="29"/>
      <c r="AD144" s="29"/>
    </row>
    <row r="145" spans="28:30" s="28" customFormat="1" x14ac:dyDescent="0.25">
      <c r="AB145" s="122"/>
      <c r="AC145" s="29"/>
      <c r="AD145" s="29"/>
    </row>
    <row r="146" spans="28:30" s="28" customFormat="1" x14ac:dyDescent="0.25">
      <c r="AB146" s="122"/>
      <c r="AC146" s="29"/>
      <c r="AD146" s="29"/>
    </row>
    <row r="147" spans="28:30" s="28" customFormat="1" x14ac:dyDescent="0.25">
      <c r="AB147" s="122"/>
      <c r="AC147" s="29"/>
      <c r="AD147" s="29"/>
    </row>
    <row r="148" spans="28:30" s="28" customFormat="1" x14ac:dyDescent="0.25">
      <c r="AB148" s="122"/>
      <c r="AC148" s="29"/>
      <c r="AD148" s="29"/>
    </row>
    <row r="149" spans="28:30" s="28" customFormat="1" x14ac:dyDescent="0.25">
      <c r="AB149" s="122"/>
      <c r="AC149" s="29"/>
      <c r="AD149" s="29"/>
    </row>
    <row r="150" spans="28:30" s="28" customFormat="1" x14ac:dyDescent="0.25">
      <c r="AB150" s="122"/>
      <c r="AC150" s="29"/>
      <c r="AD150" s="29"/>
    </row>
    <row r="151" spans="28:30" s="28" customFormat="1" x14ac:dyDescent="0.25">
      <c r="AB151" s="122"/>
      <c r="AC151" s="29"/>
      <c r="AD151" s="29"/>
    </row>
    <row r="152" spans="28:30" s="28" customFormat="1" x14ac:dyDescent="0.25">
      <c r="AB152" s="122"/>
      <c r="AC152" s="29"/>
      <c r="AD152" s="29"/>
    </row>
    <row r="153" spans="28:30" s="28" customFormat="1" x14ac:dyDescent="0.25">
      <c r="AB153" s="122"/>
      <c r="AC153" s="29"/>
      <c r="AD153" s="29"/>
    </row>
    <row r="154" spans="28:30" s="28" customFormat="1" x14ac:dyDescent="0.25">
      <c r="AB154" s="122"/>
      <c r="AC154" s="29"/>
      <c r="AD154" s="29"/>
    </row>
    <row r="155" spans="28:30" s="28" customFormat="1" x14ac:dyDescent="0.25">
      <c r="AB155" s="122"/>
      <c r="AC155" s="29"/>
      <c r="AD155" s="29"/>
    </row>
    <row r="156" spans="28:30" s="28" customFormat="1" x14ac:dyDescent="0.25">
      <c r="AB156" s="122"/>
      <c r="AC156" s="29"/>
      <c r="AD156" s="29"/>
    </row>
    <row r="157" spans="28:30" s="28" customFormat="1" x14ac:dyDescent="0.25">
      <c r="AB157" s="122"/>
      <c r="AC157" s="29"/>
      <c r="AD157" s="29"/>
    </row>
    <row r="158" spans="28:30" s="28" customFormat="1" x14ac:dyDescent="0.25">
      <c r="AB158" s="122"/>
      <c r="AC158" s="29"/>
      <c r="AD158" s="29"/>
    </row>
    <row r="159" spans="28:30" s="28" customFormat="1" x14ac:dyDescent="0.25">
      <c r="AB159" s="122"/>
      <c r="AC159" s="29"/>
      <c r="AD159" s="29"/>
    </row>
    <row r="160" spans="28:30" s="28" customFormat="1" x14ac:dyDescent="0.25">
      <c r="AB160" s="122"/>
      <c r="AC160" s="29"/>
      <c r="AD160" s="29"/>
    </row>
    <row r="161" spans="28:30" s="28" customFormat="1" x14ac:dyDescent="0.25">
      <c r="AB161" s="122"/>
      <c r="AC161" s="29"/>
      <c r="AD161" s="29"/>
    </row>
    <row r="162" spans="28:30" s="28" customFormat="1" x14ac:dyDescent="0.25">
      <c r="AB162" s="122"/>
      <c r="AC162" s="29"/>
      <c r="AD162" s="29"/>
    </row>
    <row r="163" spans="28:30" s="28" customFormat="1" x14ac:dyDescent="0.25">
      <c r="AB163" s="122"/>
      <c r="AC163" s="29"/>
      <c r="AD163" s="29"/>
    </row>
    <row r="164" spans="28:30" s="28" customFormat="1" x14ac:dyDescent="0.25">
      <c r="AB164" s="122"/>
      <c r="AC164" s="29"/>
      <c r="AD164" s="29"/>
    </row>
    <row r="165" spans="28:30" s="28" customFormat="1" x14ac:dyDescent="0.25">
      <c r="AB165" s="122"/>
      <c r="AC165" s="29"/>
      <c r="AD165" s="29"/>
    </row>
    <row r="166" spans="28:30" s="28" customFormat="1" x14ac:dyDescent="0.25">
      <c r="AB166" s="122"/>
      <c r="AC166" s="29"/>
      <c r="AD166" s="29"/>
    </row>
    <row r="167" spans="28:30" s="28" customFormat="1" x14ac:dyDescent="0.25">
      <c r="AB167" s="122"/>
      <c r="AC167" s="29"/>
      <c r="AD167" s="29"/>
    </row>
    <row r="168" spans="28:30" s="28" customFormat="1" x14ac:dyDescent="0.25">
      <c r="AB168" s="122"/>
      <c r="AC168" s="29"/>
      <c r="AD168" s="29"/>
    </row>
    <row r="169" spans="28:30" s="28" customFormat="1" x14ac:dyDescent="0.25">
      <c r="AB169" s="122"/>
      <c r="AC169" s="29"/>
      <c r="AD169" s="29"/>
    </row>
    <row r="170" spans="28:30" s="28" customFormat="1" x14ac:dyDescent="0.25">
      <c r="AB170" s="122"/>
      <c r="AC170" s="29"/>
      <c r="AD170" s="29"/>
    </row>
    <row r="171" spans="28:30" s="28" customFormat="1" x14ac:dyDescent="0.25">
      <c r="AB171" s="122"/>
      <c r="AC171" s="29"/>
      <c r="AD171" s="29"/>
    </row>
    <row r="172" spans="28:30" s="28" customFormat="1" x14ac:dyDescent="0.25">
      <c r="AB172" s="122"/>
      <c r="AC172" s="29"/>
      <c r="AD172" s="29"/>
    </row>
    <row r="173" spans="28:30" s="28" customFormat="1" x14ac:dyDescent="0.25">
      <c r="AB173" s="122"/>
      <c r="AC173" s="29"/>
      <c r="AD173" s="29"/>
    </row>
    <row r="174" spans="28:30" s="28" customFormat="1" x14ac:dyDescent="0.25">
      <c r="AB174" s="122"/>
      <c r="AC174" s="29"/>
      <c r="AD174" s="29"/>
    </row>
    <row r="175" spans="28:30" s="28" customFormat="1" x14ac:dyDescent="0.25">
      <c r="AB175" s="122"/>
      <c r="AC175" s="29"/>
      <c r="AD175" s="29"/>
    </row>
  </sheetData>
  <mergeCells count="34">
    <mergeCell ref="B9:AA9"/>
    <mergeCell ref="B10:AA10"/>
    <mergeCell ref="B11:AA11"/>
    <mergeCell ref="B14:B17"/>
    <mergeCell ref="C14:H14"/>
    <mergeCell ref="I14:I17"/>
    <mergeCell ref="J14:M14"/>
    <mergeCell ref="N14:Q14"/>
    <mergeCell ref="R14:Y14"/>
    <mergeCell ref="Z14:Z17"/>
    <mergeCell ref="AA14:AA17"/>
    <mergeCell ref="C15:C17"/>
    <mergeCell ref="D15:D17"/>
    <mergeCell ref="E15:E17"/>
    <mergeCell ref="F15:G15"/>
    <mergeCell ref="H15:H17"/>
    <mergeCell ref="V20:V26"/>
    <mergeCell ref="W20:W26"/>
    <mergeCell ref="X20:X26"/>
    <mergeCell ref="Y20:Y26"/>
    <mergeCell ref="C20:C26"/>
    <mergeCell ref="F16:F17"/>
    <mergeCell ref="G16:G17"/>
    <mergeCell ref="X15:Y16"/>
    <mergeCell ref="Q15:Q17"/>
    <mergeCell ref="R15:S16"/>
    <mergeCell ref="T15:U16"/>
    <mergeCell ref="V15:W16"/>
    <mergeCell ref="N15:O16"/>
    <mergeCell ref="P15:P17"/>
    <mergeCell ref="J15:J17"/>
    <mergeCell ref="K15:K17"/>
    <mergeCell ref="L15:L17"/>
    <mergeCell ref="M15:M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12</vt:i4>
      </vt:variant>
    </vt:vector>
  </HeadingPairs>
  <TitlesOfParts>
    <vt:vector size="18" baseType="lpstr">
      <vt:lpstr>Электроэнергия</vt:lpstr>
      <vt:lpstr>Теплоэнергия</vt:lpstr>
      <vt:lpstr>Хоз. пит. вода</vt:lpstr>
      <vt:lpstr>Пром. вода</vt:lpstr>
      <vt:lpstr>Хоз. фек. канал.</vt:lpstr>
      <vt:lpstr>Пром. канал.</vt:lpstr>
      <vt:lpstr>'Пром. вода'!_Toc70416010</vt:lpstr>
      <vt:lpstr>'Пром. канал.'!_Toc70416010</vt:lpstr>
      <vt:lpstr>Теплоэнергия!_Toc70416010</vt:lpstr>
      <vt:lpstr>'Хоз. пит. вода'!_Toc70416010</vt:lpstr>
      <vt:lpstr>'Хоз. фек. канал.'!_Toc70416010</vt:lpstr>
      <vt:lpstr>Электроэнергия!_Toc70416010</vt:lpstr>
      <vt:lpstr>'Пром. вода'!_Toc70416011</vt:lpstr>
      <vt:lpstr>'Пром. канал.'!_Toc70416011</vt:lpstr>
      <vt:lpstr>Теплоэнергия!_Toc70416011</vt:lpstr>
      <vt:lpstr>'Хоз. пит. вода'!_Toc70416011</vt:lpstr>
      <vt:lpstr>'Хоз. фек. канал.'!_Toc70416011</vt:lpstr>
      <vt:lpstr>Электроэнергия!_Toc70416011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2022-07-19T09:31:24Z</dcterms:modified>
</cp:coreProperties>
</file>