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Свод" sheetId="7" r:id="rId1"/>
  </sheets>
  <externalReferences>
    <externalReference r:id="rId2"/>
    <externalReference r:id="rId3"/>
  </externalReferences>
  <definedNames>
    <definedName name="_Toc70416010" localSheetId="0">Свод!$Y$1</definedName>
    <definedName name="_Toc70416011" localSheetId="0">Свод!$Z$6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7" l="1"/>
  <c r="J100" i="7" l="1"/>
  <c r="O100" i="7"/>
  <c r="P100" i="7"/>
  <c r="I101" i="7"/>
  <c r="Y101" i="7"/>
  <c r="AB101" i="7"/>
  <c r="AC101" i="7" s="1"/>
  <c r="I102" i="7"/>
  <c r="K102" i="7" s="1"/>
  <c r="Y102" i="7"/>
  <c r="AC102" i="7"/>
  <c r="I103" i="7"/>
  <c r="M103" i="7" s="1"/>
  <c r="Y103" i="7"/>
  <c r="AB103" i="7"/>
  <c r="AC103" i="7" s="1"/>
  <c r="I104" i="7"/>
  <c r="N104" i="7" s="1"/>
  <c r="Y104" i="7"/>
  <c r="AB104" i="7"/>
  <c r="AC104" i="7" s="1"/>
  <c r="I105" i="7"/>
  <c r="N105" i="7" s="1"/>
  <c r="Y105" i="7"/>
  <c r="AB105" i="7"/>
  <c r="AC105" i="7" s="1"/>
  <c r="I106" i="7"/>
  <c r="M106" i="7" s="1"/>
  <c r="Y106" i="7"/>
  <c r="AB106" i="7"/>
  <c r="AC106" i="7" s="1"/>
  <c r="I107" i="7"/>
  <c r="M107" i="7" s="1"/>
  <c r="Y107" i="7"/>
  <c r="AB107" i="7"/>
  <c r="AC107" i="7" s="1"/>
  <c r="M88" i="7"/>
  <c r="N88" i="7"/>
  <c r="O88" i="7"/>
  <c r="P88" i="7"/>
  <c r="I89" i="7"/>
  <c r="I88" i="7" s="1"/>
  <c r="J82" i="7" s="1"/>
  <c r="K82" i="7" s="1"/>
  <c r="J89" i="7"/>
  <c r="J88" i="7" s="1"/>
  <c r="Y89" i="7"/>
  <c r="AC89" i="7"/>
  <c r="J74" i="7"/>
  <c r="O74" i="7"/>
  <c r="P74" i="7"/>
  <c r="I75" i="7"/>
  <c r="M75" i="7"/>
  <c r="M74" i="7" s="1"/>
  <c r="Y75" i="7"/>
  <c r="I76" i="7"/>
  <c r="K76" i="7" s="1"/>
  <c r="Y76" i="7"/>
  <c r="AB76" i="7"/>
  <c r="AC76" i="7" s="1"/>
  <c r="J62" i="7"/>
  <c r="M62" i="7"/>
  <c r="N62" i="7"/>
  <c r="O62" i="7"/>
  <c r="P62" i="7"/>
  <c r="Y62" i="7"/>
  <c r="I63" i="7"/>
  <c r="I62" i="7" s="1"/>
  <c r="J56" i="7" s="1"/>
  <c r="K56" i="7" s="1"/>
  <c r="AB63" i="7"/>
  <c r="AC63" i="7" s="1"/>
  <c r="I48" i="7"/>
  <c r="J42" i="7" s="1"/>
  <c r="J48" i="7"/>
  <c r="L48" i="7"/>
  <c r="N48" i="7"/>
  <c r="O48" i="7"/>
  <c r="P48" i="7"/>
  <c r="K49" i="7"/>
  <c r="M49" i="7"/>
  <c r="Y49" i="7"/>
  <c r="K50" i="7"/>
  <c r="M50" i="7"/>
  <c r="Y50" i="7"/>
  <c r="K51" i="7"/>
  <c r="Y51" i="7"/>
  <c r="N76" i="7" l="1"/>
  <c r="AD102" i="7"/>
  <c r="K63" i="7"/>
  <c r="K62" i="7" s="1"/>
  <c r="AD76" i="7"/>
  <c r="K89" i="7"/>
  <c r="K88" i="7" s="1"/>
  <c r="I74" i="7"/>
  <c r="J68" i="7" s="1"/>
  <c r="K68" i="7" s="1"/>
  <c r="AD89" i="7"/>
  <c r="AD101" i="7"/>
  <c r="AD106" i="7"/>
  <c r="AD105" i="7"/>
  <c r="AD104" i="7"/>
  <c r="AD103" i="7"/>
  <c r="I100" i="7"/>
  <c r="J94" i="7" s="1"/>
  <c r="K107" i="7"/>
  <c r="K106" i="7"/>
  <c r="K105" i="7"/>
  <c r="K104" i="7"/>
  <c r="K103" i="7"/>
  <c r="AD107" i="7"/>
  <c r="M102" i="7"/>
  <c r="M100" i="7" s="1"/>
  <c r="N101" i="7"/>
  <c r="N100" i="7" s="1"/>
  <c r="K101" i="7"/>
  <c r="N75" i="7"/>
  <c r="AD63" i="7"/>
  <c r="M48" i="7"/>
  <c r="K48" i="7"/>
  <c r="K75" i="7"/>
  <c r="K74" i="7" s="1"/>
  <c r="Y37" i="7"/>
  <c r="I37" i="7"/>
  <c r="K37" i="7" s="1"/>
  <c r="Y36" i="7"/>
  <c r="I36" i="7"/>
  <c r="K36" i="7" s="1"/>
  <c r="Y35" i="7"/>
  <c r="M35" i="7"/>
  <c r="Y34" i="7"/>
  <c r="I34" i="7"/>
  <c r="Y33" i="7"/>
  <c r="I33" i="7"/>
  <c r="Y32" i="7"/>
  <c r="I32" i="7"/>
  <c r="Y31" i="7"/>
  <c r="I31" i="7"/>
  <c r="Y30" i="7"/>
  <c r="I30" i="7"/>
  <c r="Y29" i="7"/>
  <c r="I29" i="7"/>
  <c r="Y28" i="7"/>
  <c r="I28" i="7"/>
  <c r="Y27" i="7"/>
  <c r="I27" i="7"/>
  <c r="Y26" i="7"/>
  <c r="I26" i="7"/>
  <c r="Y25" i="7"/>
  <c r="I25" i="7"/>
  <c r="Y24" i="7"/>
  <c r="I24" i="7"/>
  <c r="Y23" i="7"/>
  <c r="I23" i="7"/>
  <c r="AC22" i="7"/>
  <c r="Y22" i="7"/>
  <c r="I22" i="7"/>
  <c r="AC21" i="7"/>
  <c r="Y21" i="7"/>
  <c r="I21" i="7"/>
  <c r="AC20" i="7"/>
  <c r="Y20" i="7"/>
  <c r="I20" i="7"/>
  <c r="K20" i="7" s="1"/>
  <c r="AB19" i="7"/>
  <c r="AC19" i="7"/>
  <c r="Y19" i="7"/>
  <c r="I19" i="7"/>
  <c r="K19" i="7" s="1"/>
  <c r="AB18" i="7"/>
  <c r="AC18" i="7" s="1"/>
  <c r="Y18" i="7"/>
  <c r="I18" i="7"/>
  <c r="M18" i="7" s="1"/>
  <c r="P17" i="7"/>
  <c r="O17" i="7"/>
  <c r="N17" i="7"/>
  <c r="J17" i="7"/>
  <c r="M22" i="7" l="1"/>
  <c r="K22" i="7"/>
  <c r="M21" i="7"/>
  <c r="K21" i="7"/>
  <c r="M24" i="7"/>
  <c r="K24" i="7"/>
  <c r="M26" i="7"/>
  <c r="K26" i="7"/>
  <c r="M28" i="7"/>
  <c r="K28" i="7"/>
  <c r="M30" i="7"/>
  <c r="K30" i="7"/>
  <c r="M32" i="7"/>
  <c r="K32" i="7"/>
  <c r="M34" i="7"/>
  <c r="K34" i="7"/>
  <c r="M23" i="7"/>
  <c r="K23" i="7"/>
  <c r="M25" i="7"/>
  <c r="K25" i="7"/>
  <c r="M27" i="7"/>
  <c r="K27" i="7"/>
  <c r="M29" i="7"/>
  <c r="K29" i="7"/>
  <c r="M31" i="7"/>
  <c r="K31" i="7"/>
  <c r="M33" i="7"/>
  <c r="K33" i="7"/>
  <c r="N74" i="7"/>
  <c r="K100" i="7"/>
  <c r="AD18" i="7"/>
  <c r="M37" i="7"/>
  <c r="M36" i="7"/>
  <c r="AD22" i="7"/>
  <c r="AD20" i="7"/>
  <c r="AD19" i="7"/>
  <c r="M20" i="7"/>
  <c r="K18" i="7"/>
  <c r="I17" i="7"/>
  <c r="M19" i="7"/>
  <c r="AD21" i="7"/>
  <c r="K17" i="7" l="1"/>
  <c r="M17" i="7"/>
</calcChain>
</file>

<file path=xl/sharedStrings.xml><?xml version="1.0" encoding="utf-8"?>
<sst xmlns="http://schemas.openxmlformats.org/spreadsheetml/2006/main" count="470" uniqueCount="118">
  <si>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</si>
  <si>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</si>
  <si>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</si>
  <si>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</si>
  <si>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</si>
  <si>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</si>
  <si>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</si>
  <si>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</si>
  <si>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</si>
  <si>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причины отклонения</t>
  </si>
  <si>
    <t>план</t>
  </si>
  <si>
    <t>факт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</si>
  <si>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</si>
  <si>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</si>
  <si>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</si>
  <si>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</si>
  <si>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</si>
  <si>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</si>
  <si>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</si>
  <si>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</si>
  <si>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</si>
  <si>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</si>
  <si>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</si>
  <si>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</si>
  <si>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</si>
  <si>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</si>
  <si>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</si>
  <si>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</si>
  <si>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</si>
  <si>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</si>
  <si>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</si>
  <si>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>наименование субъекта естественной монополии, вид деятельности</t>
  </si>
  <si>
    <t>Всего по услуге</t>
  </si>
  <si>
    <t>услуга</t>
  </si>
  <si>
    <t>шт</t>
  </si>
  <si>
    <t>шт.</t>
  </si>
  <si>
    <t>БРП "ЭнергоСети" ТОО "Kazakhmys Distribution (Казахмыс Дистрибьюшн)", услуги по отводу сточных вод (хоз. фекальная канализация)</t>
  </si>
  <si>
    <t>БРП "ЭнергоСети" ТОО "Kazakhmys Distribution (Казахмыс Дистрибьюшн)", услуги по отводу сточных вод (промышленная канализация)</t>
  </si>
  <si>
    <t>1</t>
  </si>
  <si>
    <t>Реализация проекта: Установка модульного водоперехватывающего технологического комплекса на  Балхашской промышленной площадке</t>
  </si>
  <si>
    <t>-</t>
  </si>
  <si>
    <t>Повышение качества и надежности предоставляемых услуг будет оцениваться после реализации мероприятия</t>
  </si>
  <si>
    <t>2022 год</t>
  </si>
  <si>
    <t>План, тыс. тенге без НДС</t>
  </si>
  <si>
    <t>Факт, тыс. тенге без НДС</t>
  </si>
  <si>
    <t>отклонение, тыс. тенге без НДС</t>
  </si>
  <si>
    <t>Амортизация, тыс. тенге без НДС</t>
  </si>
  <si>
    <t>Прибыль, тыс. тенге без НДС</t>
  </si>
  <si>
    <t>Замена полимерных изоляторов на стеклянные изоляторы ПС-120Б</t>
  </si>
  <si>
    <t>Строительство кабельной эстакады от БТЭЦ ГРУ до ЦРП-1 на территории МПЦ ЦЭСиП  БРП "ЭнергоСети" - 1 этап</t>
  </si>
  <si>
    <t>Ремонт зданий ОРУ П/СТ ГПП-4А</t>
  </si>
  <si>
    <t>Приобретение ТМ 630 кВА 10/0,4 кВ</t>
  </si>
  <si>
    <t>Приобретение КТП 400 3/0,4кВА</t>
  </si>
  <si>
    <t>Приобретение разъединителей 35 кВ подстанции ГПП-5</t>
  </si>
  <si>
    <t>Приобретение Автовышки 45 м</t>
  </si>
  <si>
    <t>Приобретение вводов 110 кВ</t>
  </si>
  <si>
    <t>Замена опор на ВЛ-3 кВ  Фидера №1</t>
  </si>
  <si>
    <t>Приобретение материалов и оборудования для проведения ремонтных работ</t>
  </si>
  <si>
    <t>Приобретение Автотехники УАЗ</t>
  </si>
  <si>
    <t>Ремонт зданий и сооружении ПС 220/110/10 кВ "Актогайский ГОК</t>
  </si>
  <si>
    <t>Приобретение Фургона на базе Камаз</t>
  </si>
  <si>
    <t>Приобретение спец. техники "ямобур"</t>
  </si>
  <si>
    <t>Оформление земли под кабельные эстакады</t>
  </si>
  <si>
    <t>Приобретение жилого вагончика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</si>
  <si>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</si>
  <si>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</si>
  <si>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</si>
  <si>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</si>
  <si>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</si>
  <si>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</si>
  <si>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</si>
  <si>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</si>
  <si>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</si>
  <si>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</si>
  <si>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</si>
  <si>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</si>
  <si>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</si>
  <si>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</si>
  <si>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</si>
  <si>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</si>
  <si>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</si>
  <si>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компл</t>
  </si>
  <si>
    <t xml:space="preserve">услуга </t>
  </si>
  <si>
    <t>Отсутствие заключенного договора. Ведется проработка рынка.</t>
  </si>
  <si>
    <t>Услуга</t>
  </si>
  <si>
    <t>Отсутствие заключенного договора. Ведется проработка рынка. По заключенному договору ТМЦ поставлен и установлен.</t>
  </si>
  <si>
    <t>19</t>
  </si>
  <si>
    <t>Приобретение автобуса King Long XMQ6129Y, 55+1+1 мест</t>
  </si>
  <si>
    <t>Приобретение офисной оргтехники</t>
  </si>
  <si>
    <t>Замена  промышленного трубопровода водоснабжения Ø 630 мм от ЦТТ ТВС</t>
  </si>
  <si>
    <t>Замена изоляции трубопровода Ф108мм на территории от врезки ЭЛМНУ до ПЧ-59</t>
  </si>
  <si>
    <t>Замена изоляции участков трубопровода и теплосети диам 219 мм на территории БОФ от камеры Ютария до врезки задвижки гаражей РМСУ ЦТВС</t>
  </si>
  <si>
    <t>Монтаж коллектора хоз.бытовых стоков от насосной станции "Фекальная 1А" до колодца гасителя"</t>
  </si>
  <si>
    <t>Приобретение седельного тягача</t>
  </si>
  <si>
    <t>Приобретение полуприцепа бортового</t>
  </si>
  <si>
    <t>Строительство резервной трассы промышленной канализации от МПЦ (район ЦРМП) до склада БТЭЦ"</t>
  </si>
  <si>
    <t>Приобретение орг. техники для центральных складов</t>
  </si>
  <si>
    <t>Приобретение низковольтного комплектного устройства</t>
  </si>
  <si>
    <t>Замена задвижки Ду900 КНС на территории БТЭЦ</t>
  </si>
  <si>
    <t>компл.</t>
  </si>
  <si>
    <t>Основная часть ТМЦ поставлена. На часть ТМЦ ведется проработка рынка.</t>
  </si>
  <si>
    <t xml:space="preserve">об исполнении инвестиционной программы на 2023 год  по итогам  I полугодия 2023 года       </t>
  </si>
  <si>
    <t>БРП "ЭнергоСети" ТОО "Kazakhmys Distribution (Казахмыс Дистрибьюшн)", услуги по передаче электрической энергии</t>
  </si>
  <si>
    <t>БРП "ЭнергоСети" ТОО "Kazakhmys Distribution (Казахмыс Дистрибьюшн)", услуги по передаче и распределению тепловой энергии</t>
  </si>
  <si>
    <t>БРП "ЭнергоСети" ТОО "Kazakhmys Distribution (Казахмыс Дистрибьюшн)", услуги подачи воды по распределительным сетям (хоз.питьевое водоснабжение)</t>
  </si>
  <si>
    <t>БРП "ЭнергоСети" ТОО "Kazakhmys Distribution (Казахмыс Дистрибьюшн)", услуги подачи воды по распределительным сетям (промышленное водоснабжение)</t>
  </si>
  <si>
    <t>Услуга по передаче электрической энергии 
(г.Балхаш, поселок Саяк, поселок Конырат;
Восточно-казахстанская область-Актогайский район;
Алматинская область -город Уштобе)</t>
  </si>
  <si>
    <t>Услуга по передачи и распределения тепловой энергии
(г.Балхаш)</t>
  </si>
  <si>
    <t>Услуга по подаче воды по распределительным сетям (хоз. питьевое водоснабжение), (г.Балхаш)</t>
  </si>
  <si>
    <t>Услуга по отводу сточных вод (хоз. фекальная канализация)
(г.Балхаш)</t>
  </si>
  <si>
    <t>Услуга по отводу сточных вод (промышленная канализация)
(г.Балхаш)</t>
  </si>
  <si>
    <t>Услуга по подаче воды по распределительным сетям (промышленное водоснабжение)
(г.Балхаш)</t>
  </si>
  <si>
    <t>Приобретение трансформатора 3200кВА 10/3кВ</t>
  </si>
  <si>
    <t>Приобретение теплоизоляционных экранов для запорной арматуры</t>
  </si>
  <si>
    <t>Замена хоз.питьевого трубопровода водоснабжения Ф377мм от управления ТОО Казахмыс Смэлтинг до РМЗ</t>
  </si>
  <si>
    <t>Замена  промышленного трубопровода  водоснабжения Ø 630 мм от АБК ЦЗ по территории управления ТОО "Смэлтинг" Казахмыс" до РМЗ.</t>
  </si>
  <si>
    <t>Замена масляных выключателей на вакуумные выключатели напряжением 10кВ на п/ст ЦРП-5</t>
  </si>
  <si>
    <t>ТМЦ получен, ведется оформление разрешающих документов для начала проведения работ. Начало выполнения работ запланировано на сентябрь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</si>
</sst>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0.0000"/>
    <numFmt numFmtId="166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3" fontId="3" fillId="0" borderId="0" xfId="2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4" fillId="0" borderId="0" xfId="0" applyFont="1" applyAlignment="1">
      <alignment horizontal="right" vertical="center"/>
    </xf>
    <xf numFmtId="4" fontId="7" fillId="0" borderId="0" xfId="0" applyNumberFormat="1" applyFont="1"/>
    <xf numFmtId="4" fontId="8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2" applyFont="1" applyAlignment="1">
      <alignment horizontal="center" vertical="center" wrapText="1"/>
    </xf>
    <xf numFmtId="43" fontId="3" fillId="0" borderId="19" xfId="2" applyFont="1" applyFill="1" applyBorder="1" applyAlignment="1">
      <alignment horizontal="center" vertical="center" wrapText="1"/>
    </xf>
    <xf numFmtId="43" fontId="3" fillId="0" borderId="14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3" fontId="8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3" fontId="3" fillId="0" borderId="19" xfId="2" applyFont="1" applyBorder="1" applyAlignment="1">
      <alignment horizontal="center" vertical="center" wrapText="1"/>
    </xf>
    <xf numFmtId="43" fontId="3" fillId="0" borderId="27" xfId="2" applyFont="1" applyBorder="1" applyAlignment="1">
      <alignment horizontal="center" vertical="center" wrapText="1"/>
    </xf>
    <xf numFmtId="43" fontId="3" fillId="0" borderId="14" xfId="2" applyFont="1" applyBorder="1" applyAlignment="1">
      <alignment horizontal="center" vertical="center" wrapText="1"/>
    </xf>
    <xf numFmtId="43" fontId="4" fillId="0" borderId="18" xfId="2" applyFont="1" applyBorder="1" applyAlignment="1">
      <alignment horizontal="center" vertical="center" wrapText="1"/>
    </xf>
    <xf numFmtId="43" fontId="3" fillId="0" borderId="54" xfId="2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2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3" fontId="3" fillId="0" borderId="22" xfId="2" applyFont="1" applyBorder="1" applyAlignment="1">
      <alignment horizontal="center" vertical="center" wrapText="1"/>
    </xf>
    <xf numFmtId="43" fontId="3" fillId="0" borderId="28" xfId="2" applyFont="1" applyBorder="1" applyAlignment="1">
      <alignment horizontal="center" vertical="center" wrapText="1"/>
    </xf>
    <xf numFmtId="43" fontId="3" fillId="0" borderId="21" xfId="2" applyFont="1" applyBorder="1" applyAlignment="1">
      <alignment horizontal="center" vertical="center" wrapText="1"/>
    </xf>
    <xf numFmtId="43" fontId="3" fillId="0" borderId="22" xfId="2" applyFont="1" applyFill="1" applyBorder="1" applyAlignment="1">
      <alignment horizontal="center" vertical="center" wrapText="1"/>
    </xf>
    <xf numFmtId="43" fontId="4" fillId="0" borderId="20" xfId="2" applyFont="1" applyBorder="1" applyAlignment="1">
      <alignment horizontal="center" vertical="center" wrapText="1"/>
    </xf>
    <xf numFmtId="43" fontId="3" fillId="0" borderId="45" xfId="2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0" xfId="0" applyFont="1"/>
    <xf numFmtId="43" fontId="8" fillId="0" borderId="0" xfId="2" applyFont="1"/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166" fontId="3" fillId="0" borderId="14" xfId="2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3" fontId="3" fillId="0" borderId="21" xfId="2" applyFont="1" applyFill="1" applyBorder="1" applyAlignment="1">
      <alignment horizontal="center" vertical="center" wrapText="1"/>
    </xf>
    <xf numFmtId="43" fontId="3" fillId="0" borderId="20" xfId="2" applyFont="1" applyBorder="1" applyAlignment="1">
      <alignment horizontal="center" vertical="center" wrapText="1"/>
    </xf>
    <xf numFmtId="3" fontId="7" fillId="0" borderId="0" xfId="0" applyNumberFormat="1" applyFont="1"/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3" fontId="3" fillId="0" borderId="0" xfId="2" applyFont="1" applyAlignment="1">
      <alignment horizontal="center" vertical="center"/>
    </xf>
    <xf numFmtId="43" fontId="3" fillId="0" borderId="50" xfId="2" applyFont="1" applyBorder="1" applyAlignment="1">
      <alignment horizontal="center" vertical="center" wrapText="1"/>
    </xf>
    <xf numFmtId="43" fontId="3" fillId="0" borderId="51" xfId="2" applyFont="1" applyBorder="1" applyAlignment="1">
      <alignment horizontal="center" vertical="center" wrapText="1"/>
    </xf>
    <xf numFmtId="43" fontId="4" fillId="0" borderId="53" xfId="2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43" fontId="3" fillId="0" borderId="18" xfId="2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3" fontId="3" fillId="0" borderId="35" xfId="2" applyFont="1" applyBorder="1" applyAlignment="1">
      <alignment horizontal="center" vertical="center" wrapText="1"/>
    </xf>
    <xf numFmtId="43" fontId="3" fillId="0" borderId="48" xfId="2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43" fontId="10" fillId="0" borderId="0" xfId="0" applyNumberFormat="1" applyFont="1" applyFill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3" fontId="3" fillId="0" borderId="59" xfId="2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3" fontId="3" fillId="0" borderId="33" xfId="0" applyNumberFormat="1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3" fontId="3" fillId="0" borderId="3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3" fontId="4" fillId="0" borderId="27" xfId="2" applyFont="1" applyBorder="1" applyAlignment="1">
      <alignment horizontal="center" vertical="center" wrapText="1"/>
    </xf>
    <xf numFmtId="43" fontId="4" fillId="0" borderId="28" xfId="2" applyFont="1" applyBorder="1" applyAlignment="1">
      <alignment horizontal="center" vertical="center" wrapText="1"/>
    </xf>
    <xf numFmtId="4" fontId="9" fillId="0" borderId="5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43" fontId="3" fillId="0" borderId="53" xfId="2" applyFont="1" applyBorder="1" applyAlignment="1">
      <alignment horizontal="center" vertical="center" wrapText="1"/>
    </xf>
    <xf numFmtId="43" fontId="3" fillId="0" borderId="50" xfId="2" applyFont="1" applyFill="1" applyBorder="1" applyAlignment="1">
      <alignment horizontal="center" vertical="center" wrapText="1"/>
    </xf>
    <xf numFmtId="43" fontId="3" fillId="0" borderId="51" xfId="2" applyFont="1" applyFill="1" applyBorder="1" applyAlignment="1">
      <alignment horizontal="center" vertical="center" wrapText="1"/>
    </xf>
    <xf numFmtId="43" fontId="4" fillId="0" borderId="63" xfId="2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3" fontId="3" fillId="0" borderId="5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9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9" fillId="0" borderId="64" xfId="0" applyNumberFormat="1" applyFont="1" applyBorder="1" applyAlignment="1">
      <alignment horizontal="center" vertical="center" wrapText="1"/>
    </xf>
    <xf numFmtId="4" fontId="9" fillId="0" borderId="67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3" fontId="9" fillId="0" borderId="65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9" fillId="0" borderId="69" xfId="0" applyNumberFormat="1" applyFont="1" applyBorder="1" applyAlignment="1">
      <alignment horizontal="center" vertical="center" wrapText="1"/>
    </xf>
    <xf numFmtId="4" fontId="9" fillId="0" borderId="69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3" fontId="3" fillId="0" borderId="66" xfId="2" applyFont="1" applyFill="1" applyBorder="1" applyAlignment="1">
      <alignment horizontal="center" vertical="center" wrapText="1"/>
    </xf>
    <xf numFmtId="43" fontId="3" fillId="0" borderId="67" xfId="2" applyFont="1" applyFill="1" applyBorder="1" applyAlignment="1">
      <alignment horizontal="center" vertical="center" wrapText="1"/>
    </xf>
    <xf numFmtId="43" fontId="3" fillId="0" borderId="65" xfId="2" applyFont="1" applyFill="1" applyBorder="1" applyAlignment="1">
      <alignment horizontal="center" vertical="center" wrapText="1"/>
    </xf>
    <xf numFmtId="43" fontId="4" fillId="0" borderId="64" xfId="2" applyFont="1" applyFill="1" applyBorder="1" applyAlignment="1">
      <alignment horizontal="center" vertical="center" wrapText="1"/>
    </xf>
    <xf numFmtId="43" fontId="3" fillId="0" borderId="70" xfId="2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43" fontId="3" fillId="0" borderId="14" xfId="2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3" fillId="0" borderId="36" xfId="0" applyNumberFormat="1" applyFont="1" applyBorder="1" applyAlignment="1">
      <alignment horizontal="center" vertical="center" wrapText="1"/>
    </xf>
    <xf numFmtId="10" fontId="3" fillId="0" borderId="40" xfId="0" applyNumberFormat="1" applyFont="1" applyBorder="1" applyAlignment="1">
      <alignment horizontal="center" vertical="center" wrapText="1"/>
    </xf>
    <xf numFmtId="10" fontId="3" fillId="0" borderId="48" xfId="0" applyNumberFormat="1" applyFont="1" applyBorder="1" applyAlignment="1">
      <alignment horizontal="center" vertical="center" wrapText="1"/>
    </xf>
    <xf numFmtId="10" fontId="3" fillId="0" borderId="3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10" fontId="3" fillId="0" borderId="20" xfId="0" applyNumberFormat="1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10" fontId="3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arB\AppData\Local\Microsoft\Windows\INetCache\Content.Outlook\WUB3XBPL\&#1048;&#1055;%20&#1050;&#1052;&#1044;%202022%20_&#1087;&#1077;&#1088;&#1077;&#1088;&#1072;&#1089;&#1087;&#1088;&#1077;&#1076;%20%2018.07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arB\Desktop\&#1054;&#1090;&#1095;&#1077;&#1090;%20&#1080;&#1089;&#1087;&#1086;&#1083;&#1085;&#1077;&#1085;&#1080;&#1103;%20&#1048;&#1055;%202021%20&#1075;&#1086;&#1076;&#1072;\&#1055;&#1086;&#1083;&#1091;&#1075;&#1086;&#1076;&#1080;&#1077;\&#1048;&#1055;_&#1050;&#1052;&#1044;_2021_01.07.21%20(6+6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Переход 21г+Новые 2022г"/>
    </sheetNames>
    <sheetDataSet>
      <sheetData sheetId="0"/>
      <sheetData sheetId="1">
        <row r="90">
          <cell r="E90" t="str">
            <v>41_991514_95</v>
          </cell>
          <cell r="DU90">
            <v>33.746120000000005</v>
          </cell>
        </row>
        <row r="92">
          <cell r="DU92">
            <v>284.05734000000001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ИП 21_на 01.07."/>
      <sheetName val="Лист1"/>
      <sheetName val="Лист2"/>
      <sheetName val="Лист1 (2)"/>
      <sheetName val="Лист3"/>
    </sheetNames>
    <sheetDataSet>
      <sheetData sheetId="0" refreshError="1"/>
      <sheetData sheetId="1" refreshError="1">
        <row r="83">
          <cell r="F83" t="str">
            <v>11_990303_29</v>
          </cell>
        </row>
        <row r="168">
          <cell r="BI168">
            <v>1.481628746728</v>
          </cell>
        </row>
        <row r="186">
          <cell r="BI186">
            <v>4.4625930499999997</v>
          </cell>
        </row>
        <row r="187">
          <cell r="BI187">
            <v>3.1360000000000001</v>
          </cell>
        </row>
        <row r="188">
          <cell r="BI188">
            <v>34.059200000000011</v>
          </cell>
        </row>
        <row r="189">
          <cell r="BI189">
            <v>18.928000000000001</v>
          </cell>
        </row>
        <row r="190">
          <cell r="BI190">
            <v>11.53712</v>
          </cell>
        </row>
        <row r="191">
          <cell r="BI191">
            <v>60.319826984791199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7"/>
  <sheetViews>
    <sheetView tabSelected="1" topLeftCell="A64" zoomScale="60" zoomScaleNormal="60" workbookViewId="0">
      <selection activeCell="I95" sqref="I95:L95"/>
    </sheetView>
  </sheetViews>
  <sheetFormatPr defaultColWidth="9.140625" defaultRowHeight="15.75" x14ac:dyDescent="0.25"/>
  <cols>
    <col min="1" max="1" width="7.42578125" style="1" customWidth="1"/>
    <col min="2" max="2" width="15.5703125" style="1" customWidth="1"/>
    <col min="3" max="3" width="42.140625" style="1" customWidth="1"/>
    <col min="4" max="4" width="9.28515625" style="1" bestFit="1" customWidth="1"/>
    <col min="5" max="5" width="7.140625" style="1" customWidth="1"/>
    <col min="6" max="6" width="8.28515625" style="1" customWidth="1"/>
    <col min="7" max="7" width="9.28515625" style="1" bestFit="1" customWidth="1"/>
    <col min="8" max="8" width="11.42578125" style="1" customWidth="1"/>
    <col min="9" max="9" width="15.5703125" style="1" customWidth="1"/>
    <col min="10" max="10" width="17.7109375" style="1" bestFit="1" customWidth="1"/>
    <col min="11" max="11" width="15.28515625" style="1" customWidth="1"/>
    <col min="12" max="12" width="19.42578125" style="1" customWidth="1"/>
    <col min="13" max="13" width="15.85546875" style="1" customWidth="1"/>
    <col min="14" max="14" width="16.5703125" style="1" customWidth="1"/>
    <col min="15" max="20" width="9.140625" style="1" customWidth="1"/>
    <col min="21" max="21" width="10.140625" style="1" customWidth="1"/>
    <col min="22" max="22" width="8.85546875" style="1" customWidth="1"/>
    <col min="23" max="24" width="7.7109375" style="1" customWidth="1"/>
    <col min="25" max="25" width="20" style="1" customWidth="1"/>
    <col min="26" max="26" width="25.42578125" style="1" customWidth="1"/>
    <col min="27" max="27" width="22.85546875" style="52" customWidth="1"/>
    <col min="28" max="28" width="29" style="53" customWidth="1"/>
    <col min="29" max="29" width="13.140625" style="4" customWidth="1"/>
    <col min="30" max="30" width="11.140625" style="1" bestFit="1" customWidth="1"/>
    <col min="31" max="31" width="9.140625" style="1"/>
    <col min="32" max="32" width="11.7109375" style="1" bestFit="1" customWidth="1"/>
    <col min="33" max="16384" width="9.140625" style="1"/>
  </cols>
  <sheetData>
    <row r="1" spans="1:26" x14ac:dyDescent="0.25">
      <c r="Y1" s="2"/>
      <c r="Z1" s="3" t="s">
        <v>25</v>
      </c>
    </row>
    <row r="2" spans="1:26" x14ac:dyDescent="0.25">
      <c r="K2" s="6"/>
      <c r="M2" s="6"/>
      <c r="Z2" s="5" t="s">
        <v>26</v>
      </c>
    </row>
    <row r="3" spans="1:26" x14ac:dyDescent="0.25">
      <c r="Z3" s="7" t="s">
        <v>27</v>
      </c>
    </row>
    <row r="4" spans="1:26" x14ac:dyDescent="0.25">
      <c r="C4" s="6"/>
      <c r="Z4" s="3" t="s">
        <v>28</v>
      </c>
    </row>
    <row r="6" spans="1:26" x14ac:dyDescent="0.25">
      <c r="Z6" s="3" t="s">
        <v>29</v>
      </c>
    </row>
    <row r="7" spans="1:26" x14ac:dyDescent="0.25">
      <c r="I7" s="6"/>
      <c r="J7" s="6"/>
      <c r="K7" s="6"/>
      <c r="Z7" s="3"/>
    </row>
    <row r="8" spans="1:26" ht="15" customHeight="1" x14ac:dyDescent="0.25">
      <c r="A8" s="182" t="s">
        <v>30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</row>
    <row r="9" spans="1:26" x14ac:dyDescent="0.25">
      <c r="A9" s="182" t="s">
        <v>101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1:26" x14ac:dyDescent="0.25">
      <c r="A10" s="202" t="s">
        <v>102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</row>
    <row r="11" spans="1:26" ht="16.5" thickBot="1" x14ac:dyDescent="0.3">
      <c r="Z11" s="3"/>
    </row>
    <row r="12" spans="1:26" ht="75.75" customHeight="1" thickBot="1" x14ac:dyDescent="0.3">
      <c r="A12" s="185" t="s">
        <v>0</v>
      </c>
      <c r="B12" s="205" t="s">
        <v>1</v>
      </c>
      <c r="C12" s="206"/>
      <c r="D12" s="206"/>
      <c r="E12" s="206"/>
      <c r="F12" s="206"/>
      <c r="G12" s="207"/>
      <c r="H12" s="183" t="s">
        <v>2</v>
      </c>
      <c r="I12" s="206" t="s">
        <v>3</v>
      </c>
      <c r="J12" s="206"/>
      <c r="K12" s="206"/>
      <c r="L12" s="207"/>
      <c r="M12" s="205" t="s">
        <v>12</v>
      </c>
      <c r="N12" s="206"/>
      <c r="O12" s="206"/>
      <c r="P12" s="207"/>
      <c r="Q12" s="205" t="s">
        <v>13</v>
      </c>
      <c r="R12" s="206"/>
      <c r="S12" s="206"/>
      <c r="T12" s="206"/>
      <c r="U12" s="206"/>
      <c r="V12" s="206"/>
      <c r="W12" s="206"/>
      <c r="X12" s="207"/>
      <c r="Y12" s="183" t="s">
        <v>14</v>
      </c>
      <c r="Z12" s="183" t="s">
        <v>15</v>
      </c>
    </row>
    <row r="13" spans="1:26" ht="135" customHeight="1" thickBot="1" x14ac:dyDescent="0.3">
      <c r="A13" s="204"/>
      <c r="B13" s="183" t="s">
        <v>4</v>
      </c>
      <c r="C13" s="183" t="s">
        <v>5</v>
      </c>
      <c r="D13" s="183" t="s">
        <v>6</v>
      </c>
      <c r="E13" s="205" t="s">
        <v>7</v>
      </c>
      <c r="F13" s="207"/>
      <c r="G13" s="183" t="s">
        <v>8</v>
      </c>
      <c r="H13" s="189"/>
      <c r="I13" s="186" t="s">
        <v>43</v>
      </c>
      <c r="J13" s="183" t="s">
        <v>44</v>
      </c>
      <c r="K13" s="183" t="s">
        <v>45</v>
      </c>
      <c r="L13" s="183" t="s">
        <v>9</v>
      </c>
      <c r="M13" s="185" t="s">
        <v>16</v>
      </c>
      <c r="N13" s="186"/>
      <c r="O13" s="183" t="s">
        <v>17</v>
      </c>
      <c r="P13" s="183" t="s">
        <v>18</v>
      </c>
      <c r="Q13" s="185" t="s">
        <v>19</v>
      </c>
      <c r="R13" s="186"/>
      <c r="S13" s="185" t="s">
        <v>20</v>
      </c>
      <c r="T13" s="186"/>
      <c r="U13" s="185" t="s">
        <v>21</v>
      </c>
      <c r="V13" s="186"/>
      <c r="W13" s="185" t="s">
        <v>22</v>
      </c>
      <c r="X13" s="186"/>
      <c r="Y13" s="189"/>
      <c r="Z13" s="189"/>
    </row>
    <row r="14" spans="1:26" ht="64.5" customHeight="1" thickBot="1" x14ac:dyDescent="0.3">
      <c r="A14" s="204"/>
      <c r="B14" s="189"/>
      <c r="C14" s="189"/>
      <c r="D14" s="189"/>
      <c r="E14" s="183" t="s">
        <v>10</v>
      </c>
      <c r="F14" s="183" t="s">
        <v>11</v>
      </c>
      <c r="G14" s="189"/>
      <c r="H14" s="189"/>
      <c r="I14" s="190"/>
      <c r="J14" s="189"/>
      <c r="K14" s="189"/>
      <c r="L14" s="189"/>
      <c r="M14" s="187"/>
      <c r="N14" s="188"/>
      <c r="O14" s="189"/>
      <c r="P14" s="189"/>
      <c r="Q14" s="187"/>
      <c r="R14" s="188"/>
      <c r="S14" s="187"/>
      <c r="T14" s="188"/>
      <c r="U14" s="187"/>
      <c r="V14" s="188"/>
      <c r="W14" s="187"/>
      <c r="X14" s="188"/>
      <c r="Y14" s="189"/>
      <c r="Z14" s="189"/>
    </row>
    <row r="15" spans="1:26" ht="49.5" customHeight="1" thickBot="1" x14ac:dyDescent="0.3">
      <c r="A15" s="187"/>
      <c r="B15" s="184"/>
      <c r="C15" s="184"/>
      <c r="D15" s="184"/>
      <c r="E15" s="184"/>
      <c r="F15" s="184"/>
      <c r="G15" s="184"/>
      <c r="H15" s="184"/>
      <c r="I15" s="188"/>
      <c r="J15" s="184"/>
      <c r="K15" s="184"/>
      <c r="L15" s="184"/>
      <c r="M15" s="169" t="s">
        <v>46</v>
      </c>
      <c r="N15" s="169" t="s">
        <v>47</v>
      </c>
      <c r="O15" s="184"/>
      <c r="P15" s="184"/>
      <c r="Q15" s="169" t="s">
        <v>23</v>
      </c>
      <c r="R15" s="170" t="s">
        <v>24</v>
      </c>
      <c r="S15" s="170" t="s">
        <v>23</v>
      </c>
      <c r="T15" s="170" t="s">
        <v>24</v>
      </c>
      <c r="U15" s="170" t="s">
        <v>10</v>
      </c>
      <c r="V15" s="170" t="s">
        <v>11</v>
      </c>
      <c r="W15" s="170" t="s">
        <v>23</v>
      </c>
      <c r="X15" s="170" t="s">
        <v>24</v>
      </c>
      <c r="Y15" s="184"/>
      <c r="Z15" s="184"/>
    </row>
    <row r="16" spans="1:26" ht="16.5" thickBot="1" x14ac:dyDescent="0.3">
      <c r="A16" s="171">
        <v>1</v>
      </c>
      <c r="B16" s="15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5">
        <v>8</v>
      </c>
      <c r="I16" s="172">
        <v>9</v>
      </c>
      <c r="J16" s="172">
        <v>10</v>
      </c>
      <c r="K16" s="172">
        <v>11</v>
      </c>
      <c r="L16" s="172">
        <v>12</v>
      </c>
      <c r="M16" s="15">
        <v>13</v>
      </c>
      <c r="N16" s="172">
        <v>14</v>
      </c>
      <c r="O16" s="172">
        <v>15</v>
      </c>
      <c r="P16" s="172">
        <v>16</v>
      </c>
      <c r="Q16" s="15">
        <v>17</v>
      </c>
      <c r="R16" s="172">
        <v>18</v>
      </c>
      <c r="S16" s="172">
        <v>19</v>
      </c>
      <c r="T16" s="172">
        <v>20</v>
      </c>
      <c r="U16" s="172">
        <v>21</v>
      </c>
      <c r="V16" s="172">
        <v>22</v>
      </c>
      <c r="W16" s="172">
        <v>23</v>
      </c>
      <c r="X16" s="172">
        <v>24</v>
      </c>
      <c r="Y16" s="15">
        <v>25</v>
      </c>
      <c r="Z16" s="15">
        <v>26</v>
      </c>
    </row>
    <row r="17" spans="1:30" s="25" customFormat="1" ht="16.5" thickBot="1" x14ac:dyDescent="0.3">
      <c r="A17" s="139"/>
      <c r="B17" s="140"/>
      <c r="C17" s="141" t="s">
        <v>32</v>
      </c>
      <c r="D17" s="142"/>
      <c r="E17" s="142"/>
      <c r="F17" s="142"/>
      <c r="G17" s="143"/>
      <c r="H17" s="144"/>
      <c r="I17" s="145">
        <f>SUM(I18:I37)</f>
        <v>934709.70400000003</v>
      </c>
      <c r="J17" s="146">
        <f>SUM(J18:J37)</f>
        <v>155570.28828571399</v>
      </c>
      <c r="K17" s="146">
        <f>SUM(K18:K37)</f>
        <v>779139.41571428603</v>
      </c>
      <c r="L17" s="143"/>
      <c r="M17" s="147">
        <f>SUM(M18:M37)</f>
        <v>934709.70400000003</v>
      </c>
      <c r="N17" s="148">
        <f>SUM(N18:N37)</f>
        <v>0</v>
      </c>
      <c r="O17" s="148">
        <f>SUM(O18:O37)</f>
        <v>0</v>
      </c>
      <c r="P17" s="148">
        <f>SUM(P18:P37)</f>
        <v>0</v>
      </c>
      <c r="Q17" s="149"/>
      <c r="R17" s="142"/>
      <c r="S17" s="142"/>
      <c r="T17" s="142"/>
      <c r="U17" s="142"/>
      <c r="V17" s="142"/>
      <c r="W17" s="142"/>
      <c r="X17" s="143"/>
      <c r="Y17" s="144"/>
      <c r="Z17" s="144"/>
      <c r="AA17" s="40"/>
      <c r="AB17" s="41"/>
      <c r="AC17" s="41"/>
      <c r="AD17" s="40"/>
    </row>
    <row r="18" spans="1:30" s="25" customFormat="1" ht="94.5" x14ac:dyDescent="0.25">
      <c r="A18" s="130">
        <v>1</v>
      </c>
      <c r="B18" s="200" t="s">
        <v>106</v>
      </c>
      <c r="C18" s="131" t="s">
        <v>116</v>
      </c>
      <c r="D18" s="132" t="s">
        <v>81</v>
      </c>
      <c r="E18" s="132">
        <v>10</v>
      </c>
      <c r="F18" s="80">
        <v>0</v>
      </c>
      <c r="G18" s="77">
        <v>2023</v>
      </c>
      <c r="H18" s="75"/>
      <c r="I18" s="133">
        <f>43445.6/1.12</f>
        <v>38790.714285714283</v>
      </c>
      <c r="J18" s="80">
        <v>0</v>
      </c>
      <c r="K18" s="134">
        <f t="shared" ref="K18:K37" si="0">I18-J18</f>
        <v>38790.714285714283</v>
      </c>
      <c r="L18" s="135" t="s">
        <v>83</v>
      </c>
      <c r="M18" s="136">
        <f t="shared" ref="M18:M19" si="1">I18</f>
        <v>38790.714285714283</v>
      </c>
      <c r="N18" s="80">
        <v>0</v>
      </c>
      <c r="O18" s="80">
        <v>0</v>
      </c>
      <c r="P18" s="80">
        <v>0</v>
      </c>
      <c r="Q18" s="137" t="s">
        <v>40</v>
      </c>
      <c r="R18" s="132" t="s">
        <v>40</v>
      </c>
      <c r="S18" s="132" t="s">
        <v>40</v>
      </c>
      <c r="T18" s="132" t="s">
        <v>40</v>
      </c>
      <c r="U18" s="229">
        <v>6.6</v>
      </c>
      <c r="V18" s="229">
        <v>4.78</v>
      </c>
      <c r="W18" s="229">
        <v>29</v>
      </c>
      <c r="X18" s="195">
        <v>16</v>
      </c>
      <c r="Y18" s="138" t="str">
        <f>L18</f>
        <v>Отсутствие заключенного договора. Ведется проработка рынка.</v>
      </c>
      <c r="Z18" s="76" t="s">
        <v>41</v>
      </c>
      <c r="AA18" s="60"/>
      <c r="AB18" s="41">
        <f>'[1]Переход 21г+Новые 2022г'!$DU$90/1.12</f>
        <v>30.130464285714286</v>
      </c>
      <c r="AC18" s="61">
        <f>AB18*1000</f>
        <v>30130.464285714286</v>
      </c>
      <c r="AD18" s="40" t="b">
        <f t="shared" ref="AD18:AD22" si="2">I18=AC18</f>
        <v>0</v>
      </c>
    </row>
    <row r="19" spans="1:30" s="25" customFormat="1" ht="94.5" x14ac:dyDescent="0.25">
      <c r="A19" s="102" t="s">
        <v>64</v>
      </c>
      <c r="B19" s="200"/>
      <c r="C19" s="105" t="s">
        <v>48</v>
      </c>
      <c r="D19" s="59" t="s">
        <v>82</v>
      </c>
      <c r="E19" s="59">
        <v>1</v>
      </c>
      <c r="F19" s="36">
        <v>0</v>
      </c>
      <c r="G19" s="39">
        <v>2023</v>
      </c>
      <c r="H19" s="58"/>
      <c r="I19" s="84">
        <f>317236.355207679/1.12</f>
        <v>283246.74572114192</v>
      </c>
      <c r="J19" s="36">
        <v>0</v>
      </c>
      <c r="K19" s="134">
        <f t="shared" si="0"/>
        <v>283246.74572114192</v>
      </c>
      <c r="L19" s="27" t="s">
        <v>83</v>
      </c>
      <c r="M19" s="127">
        <f t="shared" si="1"/>
        <v>283246.74572114192</v>
      </c>
      <c r="N19" s="36"/>
      <c r="O19" s="36"/>
      <c r="P19" s="36"/>
      <c r="Q19" s="33"/>
      <c r="R19" s="59"/>
      <c r="S19" s="59"/>
      <c r="T19" s="59"/>
      <c r="U19" s="229"/>
      <c r="V19" s="229"/>
      <c r="W19" s="229"/>
      <c r="X19" s="195"/>
      <c r="Y19" s="107" t="str">
        <f>L19</f>
        <v>Отсутствие заключенного договора. Ведется проработка рынка.</v>
      </c>
      <c r="Z19" s="32" t="s">
        <v>41</v>
      </c>
      <c r="AA19" s="41"/>
      <c r="AB19" s="60">
        <f>'[1]Переход 21г+Новые 2022г'!$DU$92/1.12</f>
        <v>253.622625</v>
      </c>
      <c r="AC19" s="61">
        <f>AA19*1000</f>
        <v>0</v>
      </c>
      <c r="AD19" s="40" t="b">
        <f t="shared" si="2"/>
        <v>0</v>
      </c>
    </row>
    <row r="20" spans="1:30" s="25" customFormat="1" ht="94.5" x14ac:dyDescent="0.25">
      <c r="A20" s="102" t="s">
        <v>65</v>
      </c>
      <c r="B20" s="200"/>
      <c r="C20" s="105" t="s">
        <v>49</v>
      </c>
      <c r="D20" s="59" t="s">
        <v>82</v>
      </c>
      <c r="E20" s="59">
        <v>1</v>
      </c>
      <c r="F20" s="36">
        <v>0</v>
      </c>
      <c r="G20" s="39">
        <v>2023</v>
      </c>
      <c r="H20" s="58"/>
      <c r="I20" s="84">
        <f>70585.038/1.12</f>
        <v>63022.355357142849</v>
      </c>
      <c r="J20" s="36">
        <v>0</v>
      </c>
      <c r="K20" s="134">
        <f t="shared" si="0"/>
        <v>63022.355357142849</v>
      </c>
      <c r="L20" s="27" t="s">
        <v>83</v>
      </c>
      <c r="M20" s="127">
        <f>I20</f>
        <v>63022.355357142849</v>
      </c>
      <c r="N20" s="36"/>
      <c r="O20" s="36"/>
      <c r="P20" s="36"/>
      <c r="Q20" s="33"/>
      <c r="R20" s="59"/>
      <c r="S20" s="59"/>
      <c r="T20" s="59"/>
      <c r="U20" s="229"/>
      <c r="V20" s="229"/>
      <c r="W20" s="229"/>
      <c r="X20" s="195"/>
      <c r="Y20" s="107" t="str">
        <f t="shared" ref="Y20:Y37" si="3">L20</f>
        <v>Отсутствие заключенного договора. Ведется проработка рынка.</v>
      </c>
      <c r="Z20" s="32" t="s">
        <v>41</v>
      </c>
      <c r="AA20" s="40"/>
      <c r="AB20" s="41">
        <v>127.23957999999999</v>
      </c>
      <c r="AC20" s="61">
        <f t="shared" ref="AC20:AC22" si="4">AB20*1000</f>
        <v>127239.57999999999</v>
      </c>
      <c r="AD20" s="40" t="b">
        <f t="shared" si="2"/>
        <v>0</v>
      </c>
    </row>
    <row r="21" spans="1:30" s="25" customFormat="1" ht="114" customHeight="1" x14ac:dyDescent="0.25">
      <c r="A21" s="102" t="s">
        <v>66</v>
      </c>
      <c r="B21" s="200"/>
      <c r="C21" s="105" t="s">
        <v>50</v>
      </c>
      <c r="D21" s="59" t="s">
        <v>33</v>
      </c>
      <c r="E21" s="59">
        <v>1</v>
      </c>
      <c r="F21" s="36">
        <v>0</v>
      </c>
      <c r="G21" s="39">
        <v>2023</v>
      </c>
      <c r="H21" s="58"/>
      <c r="I21" s="84">
        <f>13240.702/1.12</f>
        <v>11822.055357142855</v>
      </c>
      <c r="J21" s="36">
        <v>0</v>
      </c>
      <c r="K21" s="134">
        <f t="shared" si="0"/>
        <v>11822.055357142855</v>
      </c>
      <c r="L21" s="27" t="s">
        <v>83</v>
      </c>
      <c r="M21" s="127">
        <f t="shared" ref="M21:M28" si="5">I21</f>
        <v>11822.055357142855</v>
      </c>
      <c r="N21" s="36">
        <v>0</v>
      </c>
      <c r="O21" s="36">
        <v>0</v>
      </c>
      <c r="P21" s="36">
        <v>0</v>
      </c>
      <c r="Q21" s="33" t="s">
        <v>40</v>
      </c>
      <c r="R21" s="59" t="s">
        <v>40</v>
      </c>
      <c r="S21" s="59" t="s">
        <v>40</v>
      </c>
      <c r="T21" s="59" t="s">
        <v>40</v>
      </c>
      <c r="U21" s="229"/>
      <c r="V21" s="229"/>
      <c r="W21" s="229"/>
      <c r="X21" s="195"/>
      <c r="Y21" s="107" t="str">
        <f t="shared" si="3"/>
        <v>Отсутствие заключенного договора. Ведется проработка рынка.</v>
      </c>
      <c r="Z21" s="32" t="s">
        <v>41</v>
      </c>
      <c r="AA21" s="40"/>
      <c r="AB21" s="41">
        <v>30.47691696428571</v>
      </c>
      <c r="AC21" s="61">
        <f t="shared" si="4"/>
        <v>30476.916964285709</v>
      </c>
      <c r="AD21" s="40" t="b">
        <f t="shared" si="2"/>
        <v>0</v>
      </c>
    </row>
    <row r="22" spans="1:30" s="25" customFormat="1" ht="94.5" x14ac:dyDescent="0.25">
      <c r="A22" s="102" t="s">
        <v>67</v>
      </c>
      <c r="B22" s="200"/>
      <c r="C22" s="106" t="s">
        <v>112</v>
      </c>
      <c r="D22" s="59" t="s">
        <v>34</v>
      </c>
      <c r="E22" s="59">
        <v>1</v>
      </c>
      <c r="F22" s="62">
        <v>1</v>
      </c>
      <c r="G22" s="39">
        <v>2023</v>
      </c>
      <c r="H22" s="58"/>
      <c r="I22" s="84">
        <f>35244.93712/1.12</f>
        <v>31468.693857142855</v>
      </c>
      <c r="J22" s="36">
        <v>29900</v>
      </c>
      <c r="K22" s="134">
        <f t="shared" si="0"/>
        <v>1568.6938571428545</v>
      </c>
      <c r="L22" s="27" t="s">
        <v>83</v>
      </c>
      <c r="M22" s="127">
        <f t="shared" si="5"/>
        <v>31468.693857142855</v>
      </c>
      <c r="N22" s="36"/>
      <c r="O22" s="36"/>
      <c r="P22" s="36"/>
      <c r="Q22" s="33"/>
      <c r="R22" s="59"/>
      <c r="S22" s="59"/>
      <c r="T22" s="59"/>
      <c r="U22" s="229"/>
      <c r="V22" s="229"/>
      <c r="W22" s="229"/>
      <c r="X22" s="195"/>
      <c r="Y22" s="107" t="str">
        <f t="shared" si="3"/>
        <v>Отсутствие заключенного договора. Ведется проработка рынка.</v>
      </c>
      <c r="Z22" s="32" t="s">
        <v>41</v>
      </c>
      <c r="AA22" s="40"/>
      <c r="AB22" s="41">
        <v>15.2973397232143</v>
      </c>
      <c r="AC22" s="61">
        <f t="shared" si="4"/>
        <v>15297.3397232143</v>
      </c>
      <c r="AD22" s="40" t="b">
        <f t="shared" si="2"/>
        <v>0</v>
      </c>
    </row>
    <row r="23" spans="1:30" s="25" customFormat="1" ht="94.5" x14ac:dyDescent="0.25">
      <c r="A23" s="102" t="s">
        <v>68</v>
      </c>
      <c r="B23" s="200"/>
      <c r="C23" s="106" t="s">
        <v>51</v>
      </c>
      <c r="D23" s="59" t="s">
        <v>34</v>
      </c>
      <c r="E23" s="59">
        <v>1</v>
      </c>
      <c r="F23" s="36">
        <v>0</v>
      </c>
      <c r="G23" s="39">
        <v>2023</v>
      </c>
      <c r="H23" s="58"/>
      <c r="I23" s="84">
        <f>4412.6/1.12</f>
        <v>3939.8214285714284</v>
      </c>
      <c r="J23" s="36"/>
      <c r="K23" s="134">
        <f t="shared" si="0"/>
        <v>3939.8214285714284</v>
      </c>
      <c r="L23" s="27" t="s">
        <v>83</v>
      </c>
      <c r="M23" s="127">
        <f t="shared" si="5"/>
        <v>3939.8214285714284</v>
      </c>
      <c r="N23" s="36"/>
      <c r="O23" s="36"/>
      <c r="P23" s="36"/>
      <c r="Q23" s="33"/>
      <c r="R23" s="59"/>
      <c r="S23" s="59"/>
      <c r="T23" s="59"/>
      <c r="U23" s="229"/>
      <c r="V23" s="229"/>
      <c r="W23" s="229"/>
      <c r="X23" s="195"/>
      <c r="Y23" s="107" t="str">
        <f t="shared" si="3"/>
        <v>Отсутствие заключенного договора. Ведется проработка рынка.</v>
      </c>
      <c r="Z23" s="32" t="s">
        <v>41</v>
      </c>
      <c r="AA23" s="40"/>
      <c r="AB23" s="41"/>
      <c r="AC23" s="61"/>
      <c r="AD23" s="40"/>
    </row>
    <row r="24" spans="1:30" s="25" customFormat="1" ht="94.5" x14ac:dyDescent="0.25">
      <c r="A24" s="102" t="s">
        <v>69</v>
      </c>
      <c r="B24" s="200"/>
      <c r="C24" s="106" t="s">
        <v>52</v>
      </c>
      <c r="D24" s="59" t="s">
        <v>81</v>
      </c>
      <c r="E24" s="59">
        <v>2</v>
      </c>
      <c r="F24" s="36">
        <v>0</v>
      </c>
      <c r="G24" s="39">
        <v>2023</v>
      </c>
      <c r="H24" s="58"/>
      <c r="I24" s="84">
        <f>13920/1.12</f>
        <v>12428.571428571428</v>
      </c>
      <c r="J24" s="36"/>
      <c r="K24" s="134">
        <f t="shared" si="0"/>
        <v>12428.571428571428</v>
      </c>
      <c r="L24" s="27" t="s">
        <v>83</v>
      </c>
      <c r="M24" s="127">
        <f t="shared" si="5"/>
        <v>12428.571428571428</v>
      </c>
      <c r="N24" s="36"/>
      <c r="O24" s="36"/>
      <c r="P24" s="36"/>
      <c r="Q24" s="33"/>
      <c r="R24" s="59"/>
      <c r="S24" s="59"/>
      <c r="T24" s="59"/>
      <c r="U24" s="229"/>
      <c r="V24" s="229"/>
      <c r="W24" s="229"/>
      <c r="X24" s="195"/>
      <c r="Y24" s="107" t="str">
        <f t="shared" si="3"/>
        <v>Отсутствие заключенного договора. Ведется проработка рынка.</v>
      </c>
      <c r="Z24" s="32" t="s">
        <v>41</v>
      </c>
      <c r="AA24" s="40"/>
      <c r="AB24" s="41"/>
      <c r="AC24" s="61"/>
      <c r="AD24" s="40"/>
    </row>
    <row r="25" spans="1:30" s="25" customFormat="1" ht="94.5" x14ac:dyDescent="0.25">
      <c r="A25" s="102" t="s">
        <v>70</v>
      </c>
      <c r="B25" s="200"/>
      <c r="C25" s="106" t="s">
        <v>53</v>
      </c>
      <c r="D25" s="59" t="s">
        <v>81</v>
      </c>
      <c r="E25" s="59">
        <v>8</v>
      </c>
      <c r="F25" s="36">
        <v>0</v>
      </c>
      <c r="G25" s="39">
        <v>2023</v>
      </c>
      <c r="H25" s="58"/>
      <c r="I25" s="84">
        <f>92968.2/1.12</f>
        <v>83007.32142857142</v>
      </c>
      <c r="J25" s="36"/>
      <c r="K25" s="134">
        <f t="shared" si="0"/>
        <v>83007.32142857142</v>
      </c>
      <c r="L25" s="27" t="s">
        <v>83</v>
      </c>
      <c r="M25" s="127">
        <f t="shared" si="5"/>
        <v>83007.32142857142</v>
      </c>
      <c r="N25" s="36"/>
      <c r="O25" s="36"/>
      <c r="P25" s="36"/>
      <c r="Q25" s="33"/>
      <c r="R25" s="59"/>
      <c r="S25" s="59"/>
      <c r="T25" s="59"/>
      <c r="U25" s="229"/>
      <c r="V25" s="229"/>
      <c r="W25" s="229"/>
      <c r="X25" s="195"/>
      <c r="Y25" s="107" t="str">
        <f t="shared" si="3"/>
        <v>Отсутствие заключенного договора. Ведется проработка рынка.</v>
      </c>
      <c r="Z25" s="32" t="s">
        <v>41</v>
      </c>
      <c r="AA25" s="40"/>
      <c r="AB25" s="41"/>
      <c r="AC25" s="61"/>
      <c r="AD25" s="40"/>
    </row>
    <row r="26" spans="1:30" s="25" customFormat="1" ht="94.5" x14ac:dyDescent="0.25">
      <c r="A26" s="102" t="s">
        <v>71</v>
      </c>
      <c r="B26" s="200"/>
      <c r="C26" s="106" t="s">
        <v>54</v>
      </c>
      <c r="D26" s="59" t="s">
        <v>35</v>
      </c>
      <c r="E26" s="59">
        <v>1</v>
      </c>
      <c r="F26" s="36">
        <v>0</v>
      </c>
      <c r="G26" s="39">
        <v>2023</v>
      </c>
      <c r="H26" s="58"/>
      <c r="I26" s="84">
        <f>63500/1.12</f>
        <v>56696.428571428565</v>
      </c>
      <c r="J26" s="36"/>
      <c r="K26" s="134">
        <f t="shared" si="0"/>
        <v>56696.428571428565</v>
      </c>
      <c r="L26" s="27" t="s">
        <v>83</v>
      </c>
      <c r="M26" s="127">
        <f t="shared" si="5"/>
        <v>56696.428571428565</v>
      </c>
      <c r="N26" s="36"/>
      <c r="O26" s="36"/>
      <c r="P26" s="36"/>
      <c r="Q26" s="33"/>
      <c r="R26" s="59"/>
      <c r="S26" s="59"/>
      <c r="T26" s="59"/>
      <c r="U26" s="229"/>
      <c r="V26" s="229"/>
      <c r="W26" s="229"/>
      <c r="X26" s="195"/>
      <c r="Y26" s="107" t="str">
        <f t="shared" si="3"/>
        <v>Отсутствие заключенного договора. Ведется проработка рынка.</v>
      </c>
      <c r="Z26" s="32" t="s">
        <v>41</v>
      </c>
      <c r="AA26" s="40"/>
      <c r="AB26" s="41"/>
      <c r="AC26" s="61"/>
      <c r="AD26" s="40"/>
    </row>
    <row r="27" spans="1:30" s="25" customFormat="1" ht="94.5" x14ac:dyDescent="0.25">
      <c r="A27" s="102" t="s">
        <v>72</v>
      </c>
      <c r="B27" s="200"/>
      <c r="C27" s="106" t="s">
        <v>55</v>
      </c>
      <c r="D27" s="59" t="s">
        <v>34</v>
      </c>
      <c r="E27" s="59">
        <v>3</v>
      </c>
      <c r="F27" s="36">
        <v>3</v>
      </c>
      <c r="G27" s="39">
        <v>2023</v>
      </c>
      <c r="H27" s="58"/>
      <c r="I27" s="84">
        <f>11629.32288/1.12</f>
        <v>10383.323999999999</v>
      </c>
      <c r="J27" s="36">
        <v>10383.324000000001</v>
      </c>
      <c r="K27" s="134">
        <f t="shared" si="0"/>
        <v>0</v>
      </c>
      <c r="L27" s="27"/>
      <c r="M27" s="127">
        <f t="shared" si="5"/>
        <v>10383.323999999999</v>
      </c>
      <c r="N27" s="36"/>
      <c r="O27" s="36"/>
      <c r="P27" s="36"/>
      <c r="Q27" s="33"/>
      <c r="R27" s="59"/>
      <c r="S27" s="59"/>
      <c r="T27" s="59"/>
      <c r="U27" s="229"/>
      <c r="V27" s="229"/>
      <c r="W27" s="229"/>
      <c r="X27" s="195"/>
      <c r="Y27" s="107">
        <f>L27</f>
        <v>0</v>
      </c>
      <c r="Z27" s="32" t="s">
        <v>41</v>
      </c>
      <c r="AA27" s="40"/>
      <c r="AB27" s="41"/>
      <c r="AC27" s="61"/>
      <c r="AD27" s="40"/>
    </row>
    <row r="28" spans="1:30" s="25" customFormat="1" ht="141.75" x14ac:dyDescent="0.25">
      <c r="A28" s="102" t="s">
        <v>73</v>
      </c>
      <c r="B28" s="200"/>
      <c r="C28" s="106" t="s">
        <v>56</v>
      </c>
      <c r="D28" s="59" t="s">
        <v>84</v>
      </c>
      <c r="E28" s="59">
        <v>1</v>
      </c>
      <c r="F28" s="36">
        <v>0</v>
      </c>
      <c r="G28" s="39">
        <v>2023</v>
      </c>
      <c r="H28" s="58"/>
      <c r="I28" s="84">
        <f>28208.44/1.12</f>
        <v>25186.107142857138</v>
      </c>
      <c r="J28" s="181">
        <v>70</v>
      </c>
      <c r="K28" s="134">
        <f t="shared" si="0"/>
        <v>25116.107142857138</v>
      </c>
      <c r="L28" s="27" t="s">
        <v>85</v>
      </c>
      <c r="M28" s="127">
        <f t="shared" si="5"/>
        <v>25186.107142857138</v>
      </c>
      <c r="N28" s="36"/>
      <c r="O28" s="36"/>
      <c r="P28" s="36"/>
      <c r="Q28" s="33"/>
      <c r="R28" s="59"/>
      <c r="S28" s="59"/>
      <c r="T28" s="59"/>
      <c r="U28" s="229"/>
      <c r="V28" s="229"/>
      <c r="W28" s="229"/>
      <c r="X28" s="195"/>
      <c r="Y28" s="107" t="str">
        <f>L28</f>
        <v>Отсутствие заключенного договора. Ведется проработка рынка. По заключенному договору ТМЦ поставлен и установлен.</v>
      </c>
      <c r="Z28" s="32" t="s">
        <v>41</v>
      </c>
      <c r="AA28" s="40"/>
      <c r="AB28" s="41"/>
      <c r="AC28" s="61"/>
      <c r="AD28" s="40"/>
    </row>
    <row r="29" spans="1:30" s="25" customFormat="1" ht="94.5" x14ac:dyDescent="0.25">
      <c r="A29" s="102" t="s">
        <v>74</v>
      </c>
      <c r="B29" s="200"/>
      <c r="C29" s="106" t="s">
        <v>57</v>
      </c>
      <c r="D29" s="59" t="s">
        <v>34</v>
      </c>
      <c r="E29" s="59">
        <v>120</v>
      </c>
      <c r="F29" s="36">
        <v>0</v>
      </c>
      <c r="G29" s="39">
        <v>2023</v>
      </c>
      <c r="H29" s="58"/>
      <c r="I29" s="84">
        <f>9553.523/1.12</f>
        <v>8529.9312499999978</v>
      </c>
      <c r="J29" s="36">
        <v>0</v>
      </c>
      <c r="K29" s="134">
        <f t="shared" si="0"/>
        <v>8529.9312499999978</v>
      </c>
      <c r="L29" s="27" t="s">
        <v>83</v>
      </c>
      <c r="M29" s="127">
        <f>I29</f>
        <v>8529.9312499999978</v>
      </c>
      <c r="N29" s="36"/>
      <c r="O29" s="36"/>
      <c r="P29" s="36"/>
      <c r="Q29" s="33"/>
      <c r="R29" s="59"/>
      <c r="S29" s="59"/>
      <c r="T29" s="59"/>
      <c r="U29" s="229"/>
      <c r="V29" s="229"/>
      <c r="W29" s="229"/>
      <c r="X29" s="195"/>
      <c r="Y29" s="107" t="str">
        <f t="shared" ref="Y29:Y33" si="6">L29</f>
        <v>Отсутствие заключенного договора. Ведется проработка рынка.</v>
      </c>
      <c r="Z29" s="32" t="s">
        <v>41</v>
      </c>
      <c r="AA29" s="40"/>
      <c r="AB29" s="41"/>
      <c r="AC29" s="61"/>
      <c r="AD29" s="40"/>
    </row>
    <row r="30" spans="1:30" s="25" customFormat="1" ht="94.5" x14ac:dyDescent="0.25">
      <c r="A30" s="103" t="s">
        <v>75</v>
      </c>
      <c r="B30" s="200"/>
      <c r="C30" s="108" t="s">
        <v>58</v>
      </c>
      <c r="D30" s="100" t="s">
        <v>34</v>
      </c>
      <c r="E30" s="100" t="s">
        <v>38</v>
      </c>
      <c r="F30" s="86"/>
      <c r="G30" s="39">
        <v>2023</v>
      </c>
      <c r="H30" s="85"/>
      <c r="I30" s="84">
        <f>12100/1.12</f>
        <v>10803.571428571428</v>
      </c>
      <c r="J30" s="36">
        <v>0</v>
      </c>
      <c r="K30" s="134">
        <f t="shared" si="0"/>
        <v>10803.571428571428</v>
      </c>
      <c r="L30" s="27" t="s">
        <v>83</v>
      </c>
      <c r="M30" s="127">
        <f t="shared" ref="M30:M37" si="7">I30</f>
        <v>10803.571428571428</v>
      </c>
      <c r="N30" s="86"/>
      <c r="O30" s="86"/>
      <c r="P30" s="101"/>
      <c r="Q30" s="175"/>
      <c r="R30" s="100"/>
      <c r="S30" s="100"/>
      <c r="T30" s="100"/>
      <c r="U30" s="229"/>
      <c r="V30" s="229"/>
      <c r="W30" s="229"/>
      <c r="X30" s="195"/>
      <c r="Y30" s="107" t="str">
        <f t="shared" si="6"/>
        <v>Отсутствие заключенного договора. Ведется проработка рынка.</v>
      </c>
      <c r="Z30" s="32" t="s">
        <v>41</v>
      </c>
      <c r="AA30" s="40"/>
      <c r="AB30" s="41"/>
      <c r="AC30" s="61"/>
      <c r="AD30" s="40"/>
    </row>
    <row r="31" spans="1:30" s="25" customFormat="1" ht="94.5" x14ac:dyDescent="0.25">
      <c r="A31" s="103" t="s">
        <v>76</v>
      </c>
      <c r="B31" s="200"/>
      <c r="C31" s="108" t="s">
        <v>59</v>
      </c>
      <c r="D31" s="100" t="s">
        <v>82</v>
      </c>
      <c r="E31" s="100">
        <v>1</v>
      </c>
      <c r="F31" s="86"/>
      <c r="G31" s="39">
        <v>2023</v>
      </c>
      <c r="H31" s="85"/>
      <c r="I31" s="84">
        <f>23798.1/1.12</f>
        <v>21248.303571428569</v>
      </c>
      <c r="J31" s="36">
        <v>0</v>
      </c>
      <c r="K31" s="134">
        <f t="shared" si="0"/>
        <v>21248.303571428569</v>
      </c>
      <c r="L31" s="27" t="s">
        <v>83</v>
      </c>
      <c r="M31" s="127">
        <f t="shared" si="7"/>
        <v>21248.303571428569</v>
      </c>
      <c r="N31" s="86"/>
      <c r="O31" s="86"/>
      <c r="P31" s="101"/>
      <c r="Q31" s="175"/>
      <c r="R31" s="100"/>
      <c r="S31" s="100"/>
      <c r="T31" s="100"/>
      <c r="U31" s="229"/>
      <c r="V31" s="229"/>
      <c r="W31" s="229"/>
      <c r="X31" s="195"/>
      <c r="Y31" s="107" t="str">
        <f t="shared" si="6"/>
        <v>Отсутствие заключенного договора. Ведется проработка рынка.</v>
      </c>
      <c r="Z31" s="32" t="s">
        <v>41</v>
      </c>
      <c r="AA31" s="40"/>
      <c r="AB31" s="41"/>
      <c r="AC31" s="61"/>
      <c r="AD31" s="40"/>
    </row>
    <row r="32" spans="1:30" s="25" customFormat="1" ht="94.5" x14ac:dyDescent="0.25">
      <c r="A32" s="103" t="s">
        <v>77</v>
      </c>
      <c r="B32" s="200"/>
      <c r="C32" s="108" t="s">
        <v>60</v>
      </c>
      <c r="D32" s="100" t="s">
        <v>34</v>
      </c>
      <c r="E32" s="100" t="s">
        <v>38</v>
      </c>
      <c r="F32" s="86"/>
      <c r="G32" s="39">
        <v>2023</v>
      </c>
      <c r="H32" s="85"/>
      <c r="I32" s="84">
        <f>58674/1.12</f>
        <v>52387.499999999993</v>
      </c>
      <c r="J32" s="36">
        <v>0</v>
      </c>
      <c r="K32" s="134">
        <f t="shared" si="0"/>
        <v>52387.499999999993</v>
      </c>
      <c r="L32" s="27" t="s">
        <v>83</v>
      </c>
      <c r="M32" s="127">
        <f t="shared" si="7"/>
        <v>52387.499999999993</v>
      </c>
      <c r="N32" s="86"/>
      <c r="O32" s="86"/>
      <c r="P32" s="101"/>
      <c r="Q32" s="175"/>
      <c r="R32" s="100"/>
      <c r="S32" s="100"/>
      <c r="T32" s="100"/>
      <c r="U32" s="229"/>
      <c r="V32" s="229"/>
      <c r="W32" s="229"/>
      <c r="X32" s="195"/>
      <c r="Y32" s="107" t="str">
        <f t="shared" si="6"/>
        <v>Отсутствие заключенного договора. Ведется проработка рынка.</v>
      </c>
      <c r="Z32" s="32" t="s">
        <v>41</v>
      </c>
      <c r="AA32" s="40"/>
      <c r="AB32" s="41"/>
      <c r="AC32" s="61"/>
      <c r="AD32" s="40"/>
    </row>
    <row r="33" spans="1:30" s="25" customFormat="1" ht="94.5" x14ac:dyDescent="0.25">
      <c r="A33" s="103" t="s">
        <v>78</v>
      </c>
      <c r="B33" s="200"/>
      <c r="C33" s="108" t="s">
        <v>61</v>
      </c>
      <c r="D33" s="100" t="s">
        <v>34</v>
      </c>
      <c r="E33" s="100" t="s">
        <v>38</v>
      </c>
      <c r="F33" s="86"/>
      <c r="G33" s="39">
        <v>2023</v>
      </c>
      <c r="H33" s="85"/>
      <c r="I33" s="84">
        <f>144712.74/1.12</f>
        <v>129207.80357142855</v>
      </c>
      <c r="J33" s="36">
        <v>115216.964285714</v>
      </c>
      <c r="K33" s="134">
        <f t="shared" si="0"/>
        <v>13990.839285714552</v>
      </c>
      <c r="L33" s="27"/>
      <c r="M33" s="127">
        <f t="shared" si="7"/>
        <v>129207.80357142855</v>
      </c>
      <c r="N33" s="86"/>
      <c r="O33" s="86"/>
      <c r="P33" s="101"/>
      <c r="Q33" s="175"/>
      <c r="R33" s="100"/>
      <c r="S33" s="100"/>
      <c r="T33" s="100"/>
      <c r="U33" s="229"/>
      <c r="V33" s="229"/>
      <c r="W33" s="229"/>
      <c r="X33" s="195"/>
      <c r="Y33" s="107">
        <f t="shared" si="6"/>
        <v>0</v>
      </c>
      <c r="Z33" s="32" t="s">
        <v>41</v>
      </c>
      <c r="AA33" s="40"/>
      <c r="AB33" s="41"/>
      <c r="AC33" s="61"/>
      <c r="AD33" s="40"/>
    </row>
    <row r="34" spans="1:30" s="25" customFormat="1" ht="94.5" x14ac:dyDescent="0.25">
      <c r="A34" s="103" t="s">
        <v>79</v>
      </c>
      <c r="B34" s="200"/>
      <c r="C34" s="108" t="s">
        <v>62</v>
      </c>
      <c r="D34" s="100" t="s">
        <v>82</v>
      </c>
      <c r="E34" s="100">
        <v>1</v>
      </c>
      <c r="F34" s="86"/>
      <c r="G34" s="39">
        <v>2023</v>
      </c>
      <c r="H34" s="85"/>
      <c r="I34" s="84">
        <f>5986.43587232148/1.12</f>
        <v>5345.0320288584635</v>
      </c>
      <c r="J34" s="36">
        <v>0</v>
      </c>
      <c r="K34" s="134">
        <f t="shared" si="0"/>
        <v>5345.0320288584635</v>
      </c>
      <c r="L34" s="27" t="s">
        <v>83</v>
      </c>
      <c r="M34" s="127">
        <f t="shared" si="7"/>
        <v>5345.0320288584635</v>
      </c>
      <c r="N34" s="86"/>
      <c r="O34" s="86"/>
      <c r="P34" s="101"/>
      <c r="Q34" s="175"/>
      <c r="R34" s="100"/>
      <c r="S34" s="100"/>
      <c r="T34" s="100"/>
      <c r="U34" s="229"/>
      <c r="V34" s="229"/>
      <c r="W34" s="229"/>
      <c r="X34" s="195"/>
      <c r="Y34" s="107" t="str">
        <f t="shared" si="3"/>
        <v>Отсутствие заключенного договора. Ведется проработка рынка.</v>
      </c>
      <c r="Z34" s="32" t="s">
        <v>41</v>
      </c>
      <c r="AA34" s="40"/>
      <c r="AB34" s="41"/>
      <c r="AC34" s="61"/>
      <c r="AD34" s="40"/>
    </row>
    <row r="35" spans="1:30" s="25" customFormat="1" ht="94.5" x14ac:dyDescent="0.25">
      <c r="A35" s="103" t="s">
        <v>80</v>
      </c>
      <c r="B35" s="200"/>
      <c r="C35" s="108" t="s">
        <v>87</v>
      </c>
      <c r="D35" s="100" t="s">
        <v>34</v>
      </c>
      <c r="E35" s="100" t="s">
        <v>38</v>
      </c>
      <c r="F35" s="86"/>
      <c r="G35" s="39">
        <v>2023</v>
      </c>
      <c r="H35" s="85"/>
      <c r="I35" s="87">
        <v>63696.432571428362</v>
      </c>
      <c r="J35" s="36">
        <v>0</v>
      </c>
      <c r="K35" s="134">
        <f t="shared" si="0"/>
        <v>63696.432571428362</v>
      </c>
      <c r="L35" s="27" t="s">
        <v>83</v>
      </c>
      <c r="M35" s="127">
        <f t="shared" si="7"/>
        <v>63696.432571428362</v>
      </c>
      <c r="N35" s="86"/>
      <c r="O35" s="86"/>
      <c r="P35" s="101"/>
      <c r="Q35" s="175"/>
      <c r="R35" s="100"/>
      <c r="S35" s="100"/>
      <c r="T35" s="100"/>
      <c r="U35" s="229"/>
      <c r="V35" s="229"/>
      <c r="W35" s="229"/>
      <c r="X35" s="195"/>
      <c r="Y35" s="107" t="str">
        <f t="shared" si="3"/>
        <v>Отсутствие заключенного договора. Ведется проработка рынка.</v>
      </c>
      <c r="Z35" s="32" t="s">
        <v>41</v>
      </c>
      <c r="AA35" s="40"/>
      <c r="AB35" s="41"/>
      <c r="AC35" s="61"/>
      <c r="AD35" s="40"/>
    </row>
    <row r="36" spans="1:30" s="25" customFormat="1" ht="94.5" x14ac:dyDescent="0.25">
      <c r="A36" s="103" t="s">
        <v>86</v>
      </c>
      <c r="B36" s="200"/>
      <c r="C36" s="108" t="s">
        <v>88</v>
      </c>
      <c r="D36" s="100" t="s">
        <v>34</v>
      </c>
      <c r="E36" s="100">
        <v>4</v>
      </c>
      <c r="F36" s="86"/>
      <c r="G36" s="39">
        <v>2023</v>
      </c>
      <c r="H36" s="85"/>
      <c r="I36" s="87">
        <f>2410/1.12</f>
        <v>2151.7857142857142</v>
      </c>
      <c r="J36" s="36">
        <v>0</v>
      </c>
      <c r="K36" s="134">
        <f t="shared" si="0"/>
        <v>2151.7857142857142</v>
      </c>
      <c r="L36" s="27" t="s">
        <v>83</v>
      </c>
      <c r="M36" s="127">
        <f t="shared" si="7"/>
        <v>2151.7857142857142</v>
      </c>
      <c r="N36" s="86"/>
      <c r="O36" s="86"/>
      <c r="P36" s="101"/>
      <c r="Q36" s="175"/>
      <c r="R36" s="100"/>
      <c r="S36" s="100"/>
      <c r="T36" s="100"/>
      <c r="U36" s="229"/>
      <c r="V36" s="229"/>
      <c r="W36" s="229"/>
      <c r="X36" s="195"/>
      <c r="Y36" s="107" t="str">
        <f t="shared" si="3"/>
        <v>Отсутствие заключенного договора. Ведется проработка рынка.</v>
      </c>
      <c r="Z36" s="32" t="s">
        <v>41</v>
      </c>
      <c r="AA36" s="40"/>
      <c r="AB36" s="41"/>
      <c r="AC36" s="61"/>
      <c r="AD36" s="40"/>
    </row>
    <row r="37" spans="1:30" s="25" customFormat="1" ht="95.25" thickBot="1" x14ac:dyDescent="0.3">
      <c r="A37" s="104" t="s">
        <v>80</v>
      </c>
      <c r="B37" s="201"/>
      <c r="C37" s="109" t="s">
        <v>63</v>
      </c>
      <c r="D37" s="64" t="s">
        <v>34</v>
      </c>
      <c r="E37" s="64">
        <v>1</v>
      </c>
      <c r="F37" s="47"/>
      <c r="G37" s="174">
        <v>2023</v>
      </c>
      <c r="H37" s="63"/>
      <c r="I37" s="66">
        <f>23908.86992/1.12</f>
        <v>21347.205285714284</v>
      </c>
      <c r="J37" s="47">
        <v>0</v>
      </c>
      <c r="K37" s="134">
        <f t="shared" si="0"/>
        <v>21347.205285714284</v>
      </c>
      <c r="L37" s="48" t="s">
        <v>83</v>
      </c>
      <c r="M37" s="128">
        <f t="shared" si="7"/>
        <v>21347.205285714284</v>
      </c>
      <c r="N37" s="47"/>
      <c r="O37" s="47"/>
      <c r="P37" s="50"/>
      <c r="Q37" s="173"/>
      <c r="R37" s="64"/>
      <c r="S37" s="64"/>
      <c r="T37" s="64"/>
      <c r="U37" s="230"/>
      <c r="V37" s="230"/>
      <c r="W37" s="230"/>
      <c r="X37" s="196"/>
      <c r="Y37" s="110" t="str">
        <f t="shared" si="3"/>
        <v>Отсутствие заключенного договора. Ведется проработка рынка.</v>
      </c>
      <c r="Z37" s="42" t="s">
        <v>41</v>
      </c>
      <c r="AA37" s="40"/>
      <c r="AB37" s="41"/>
      <c r="AC37" s="61"/>
      <c r="AD37" s="40"/>
    </row>
    <row r="38" spans="1:30" s="25" customFormat="1" x14ac:dyDescent="0.25">
      <c r="AA38" s="40"/>
      <c r="AB38" s="41"/>
      <c r="AC38" s="26"/>
    </row>
    <row r="39" spans="1:30" x14ac:dyDescent="0.25">
      <c r="A39" s="182" t="s">
        <v>30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"/>
      <c r="AB39" s="4"/>
    </row>
    <row r="40" spans="1:30" x14ac:dyDescent="0.25">
      <c r="A40" s="182" t="s">
        <v>101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"/>
      <c r="AB40" s="4"/>
    </row>
    <row r="41" spans="1:30" x14ac:dyDescent="0.25">
      <c r="A41" s="202" t="s">
        <v>103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1"/>
      <c r="AB41" s="4"/>
    </row>
    <row r="42" spans="1:30" ht="16.5" thickBot="1" x14ac:dyDescent="0.3">
      <c r="I42" s="8">
        <v>12185.44</v>
      </c>
      <c r="J42" s="9">
        <f>I42-I48</f>
        <v>7.142857248254586E-5</v>
      </c>
      <c r="AA42" s="1"/>
      <c r="AB42" s="4"/>
    </row>
    <row r="43" spans="1:30" ht="75.75" customHeight="1" thickBot="1" x14ac:dyDescent="0.3">
      <c r="A43" s="185" t="s">
        <v>0</v>
      </c>
      <c r="B43" s="205" t="s">
        <v>1</v>
      </c>
      <c r="C43" s="206"/>
      <c r="D43" s="206"/>
      <c r="E43" s="206"/>
      <c r="F43" s="206"/>
      <c r="G43" s="207"/>
      <c r="H43" s="183" t="s">
        <v>2</v>
      </c>
      <c r="I43" s="206" t="s">
        <v>3</v>
      </c>
      <c r="J43" s="206"/>
      <c r="K43" s="206"/>
      <c r="L43" s="207"/>
      <c r="M43" s="205" t="s">
        <v>12</v>
      </c>
      <c r="N43" s="206"/>
      <c r="O43" s="206"/>
      <c r="P43" s="207"/>
      <c r="Q43" s="205" t="s">
        <v>13</v>
      </c>
      <c r="R43" s="206"/>
      <c r="S43" s="206"/>
      <c r="T43" s="206"/>
      <c r="U43" s="206"/>
      <c r="V43" s="206"/>
      <c r="W43" s="206"/>
      <c r="X43" s="207"/>
      <c r="Y43" s="183" t="s">
        <v>14</v>
      </c>
      <c r="Z43" s="183" t="s">
        <v>15</v>
      </c>
      <c r="AA43" s="1"/>
      <c r="AB43" s="4"/>
    </row>
    <row r="44" spans="1:30" ht="130.5" customHeight="1" thickBot="1" x14ac:dyDescent="0.3">
      <c r="A44" s="204"/>
      <c r="B44" s="183" t="s">
        <v>4</v>
      </c>
      <c r="C44" s="183" t="s">
        <v>5</v>
      </c>
      <c r="D44" s="183" t="s">
        <v>6</v>
      </c>
      <c r="E44" s="205" t="s">
        <v>7</v>
      </c>
      <c r="F44" s="207"/>
      <c r="G44" s="183" t="s">
        <v>8</v>
      </c>
      <c r="H44" s="189"/>
      <c r="I44" s="186" t="s">
        <v>43</v>
      </c>
      <c r="J44" s="183" t="s">
        <v>44</v>
      </c>
      <c r="K44" s="183" t="s">
        <v>45</v>
      </c>
      <c r="L44" s="183" t="s">
        <v>9</v>
      </c>
      <c r="M44" s="185" t="s">
        <v>16</v>
      </c>
      <c r="N44" s="186"/>
      <c r="O44" s="183" t="s">
        <v>17</v>
      </c>
      <c r="P44" s="183" t="s">
        <v>18</v>
      </c>
      <c r="Q44" s="185" t="s">
        <v>19</v>
      </c>
      <c r="R44" s="186"/>
      <c r="S44" s="185" t="s">
        <v>20</v>
      </c>
      <c r="T44" s="186"/>
      <c r="U44" s="185" t="s">
        <v>21</v>
      </c>
      <c r="V44" s="186"/>
      <c r="W44" s="185" t="s">
        <v>22</v>
      </c>
      <c r="X44" s="186"/>
      <c r="Y44" s="189"/>
      <c r="Z44" s="189"/>
      <c r="AA44" s="1"/>
      <c r="AB44" s="4"/>
    </row>
    <row r="45" spans="1:30" ht="76.5" customHeight="1" thickBot="1" x14ac:dyDescent="0.3">
      <c r="A45" s="204"/>
      <c r="B45" s="189"/>
      <c r="C45" s="189"/>
      <c r="D45" s="189"/>
      <c r="E45" s="183" t="s">
        <v>10</v>
      </c>
      <c r="F45" s="183" t="s">
        <v>11</v>
      </c>
      <c r="G45" s="189"/>
      <c r="H45" s="189"/>
      <c r="I45" s="190"/>
      <c r="J45" s="189"/>
      <c r="K45" s="189"/>
      <c r="L45" s="189"/>
      <c r="M45" s="187"/>
      <c r="N45" s="188"/>
      <c r="O45" s="189"/>
      <c r="P45" s="189"/>
      <c r="Q45" s="187"/>
      <c r="R45" s="188"/>
      <c r="S45" s="187"/>
      <c r="T45" s="188"/>
      <c r="U45" s="187"/>
      <c r="V45" s="188"/>
      <c r="W45" s="187"/>
      <c r="X45" s="188"/>
      <c r="Y45" s="189"/>
      <c r="Z45" s="189"/>
      <c r="AA45" s="1"/>
      <c r="AB45" s="4"/>
    </row>
    <row r="46" spans="1:30" ht="63.75" thickBot="1" x14ac:dyDescent="0.3">
      <c r="A46" s="187"/>
      <c r="B46" s="184"/>
      <c r="C46" s="184"/>
      <c r="D46" s="184"/>
      <c r="E46" s="184"/>
      <c r="F46" s="184"/>
      <c r="G46" s="184"/>
      <c r="H46" s="184"/>
      <c r="I46" s="188"/>
      <c r="J46" s="184"/>
      <c r="K46" s="184"/>
      <c r="L46" s="184"/>
      <c r="M46" s="10" t="s">
        <v>46</v>
      </c>
      <c r="N46" s="10" t="s">
        <v>47</v>
      </c>
      <c r="O46" s="184"/>
      <c r="P46" s="184"/>
      <c r="Q46" s="10" t="s">
        <v>23</v>
      </c>
      <c r="R46" s="11" t="s">
        <v>24</v>
      </c>
      <c r="S46" s="11" t="s">
        <v>23</v>
      </c>
      <c r="T46" s="11" t="s">
        <v>24</v>
      </c>
      <c r="U46" s="11" t="s">
        <v>10</v>
      </c>
      <c r="V46" s="11" t="s">
        <v>11</v>
      </c>
      <c r="W46" s="11" t="s">
        <v>23</v>
      </c>
      <c r="X46" s="11" t="s">
        <v>24</v>
      </c>
      <c r="Y46" s="184"/>
      <c r="Z46" s="184"/>
      <c r="AA46" s="1"/>
      <c r="AB46" s="4"/>
    </row>
    <row r="47" spans="1:30" ht="16.5" thickBot="1" x14ac:dyDescent="0.3">
      <c r="A47" s="94">
        <v>1</v>
      </c>
      <c r="B47" s="93">
        <v>2</v>
      </c>
      <c r="C47" s="92">
        <v>3</v>
      </c>
      <c r="D47" s="92">
        <v>4</v>
      </c>
      <c r="E47" s="92">
        <v>5</v>
      </c>
      <c r="F47" s="92">
        <v>6</v>
      </c>
      <c r="G47" s="92">
        <v>7</v>
      </c>
      <c r="H47" s="93">
        <v>8</v>
      </c>
      <c r="I47" s="92">
        <v>9</v>
      </c>
      <c r="J47" s="92">
        <v>10</v>
      </c>
      <c r="K47" s="92">
        <v>11</v>
      </c>
      <c r="L47" s="92">
        <v>12</v>
      </c>
      <c r="M47" s="93">
        <v>13</v>
      </c>
      <c r="N47" s="92">
        <v>14</v>
      </c>
      <c r="O47" s="92">
        <v>15</v>
      </c>
      <c r="P47" s="92">
        <v>16</v>
      </c>
      <c r="Q47" s="15">
        <v>17</v>
      </c>
      <c r="R47" s="14">
        <v>18</v>
      </c>
      <c r="S47" s="14">
        <v>19</v>
      </c>
      <c r="T47" s="14">
        <v>20</v>
      </c>
      <c r="U47" s="14">
        <v>21</v>
      </c>
      <c r="V47" s="14">
        <v>22</v>
      </c>
      <c r="W47" s="14">
        <v>23</v>
      </c>
      <c r="X47" s="14">
        <v>24</v>
      </c>
      <c r="Y47" s="93">
        <v>25</v>
      </c>
      <c r="Z47" s="93">
        <v>26</v>
      </c>
      <c r="AA47" s="1"/>
      <c r="AB47" s="4"/>
    </row>
    <row r="48" spans="1:30" s="25" customFormat="1" ht="15" customHeight="1" x14ac:dyDescent="0.25">
      <c r="A48" s="54"/>
      <c r="B48" s="231" t="s">
        <v>107</v>
      </c>
      <c r="C48" s="124" t="s">
        <v>32</v>
      </c>
      <c r="D48" s="57"/>
      <c r="E48" s="57"/>
      <c r="F48" s="57"/>
      <c r="G48" s="177"/>
      <c r="H48" s="16"/>
      <c r="I48" s="111">
        <f t="shared" ref="I48:P48" si="8">SUM(I49:I51)</f>
        <v>12185.439928571428</v>
      </c>
      <c r="J48" s="22">
        <f t="shared" si="8"/>
        <v>0</v>
      </c>
      <c r="K48" s="22">
        <f t="shared" si="8"/>
        <v>12185.439928571428</v>
      </c>
      <c r="L48" s="116">
        <f t="shared" si="8"/>
        <v>0</v>
      </c>
      <c r="M48" s="111">
        <f t="shared" si="8"/>
        <v>7675.3687469876413</v>
      </c>
      <c r="N48" s="22">
        <f t="shared" si="8"/>
        <v>4510.0711815837876</v>
      </c>
      <c r="O48" s="22">
        <f t="shared" si="8"/>
        <v>0</v>
      </c>
      <c r="P48" s="116">
        <f t="shared" si="8"/>
        <v>0</v>
      </c>
      <c r="Q48" s="215" t="s">
        <v>40</v>
      </c>
      <c r="R48" s="216" t="s">
        <v>40</v>
      </c>
      <c r="S48" s="217" t="s">
        <v>40</v>
      </c>
      <c r="T48" s="216" t="s">
        <v>40</v>
      </c>
      <c r="U48" s="217">
        <v>14.58</v>
      </c>
      <c r="V48" s="216">
        <v>16.46</v>
      </c>
      <c r="W48" s="217">
        <v>3</v>
      </c>
      <c r="X48" s="234">
        <v>3</v>
      </c>
      <c r="Y48" s="16"/>
      <c r="Z48" s="16"/>
      <c r="AB48" s="26"/>
      <c r="AC48" s="26"/>
    </row>
    <row r="49" spans="1:32" s="25" customFormat="1" ht="78.75" x14ac:dyDescent="0.25">
      <c r="A49" s="102">
        <v>1</v>
      </c>
      <c r="B49" s="232"/>
      <c r="C49" s="179" t="s">
        <v>90</v>
      </c>
      <c r="D49" s="59" t="s">
        <v>33</v>
      </c>
      <c r="E49" s="59">
        <v>1</v>
      </c>
      <c r="F49" s="59">
        <v>0</v>
      </c>
      <c r="G49" s="180">
        <v>2023</v>
      </c>
      <c r="H49" s="32"/>
      <c r="I49" s="118">
        <v>2716.754333928573</v>
      </c>
      <c r="J49" s="36">
        <v>0</v>
      </c>
      <c r="K49" s="28">
        <f>I49-J49</f>
        <v>2716.754333928573</v>
      </c>
      <c r="L49" s="39" t="s">
        <v>83</v>
      </c>
      <c r="M49" s="117">
        <f>I49</f>
        <v>2716.754333928573</v>
      </c>
      <c r="N49" s="113"/>
      <c r="O49" s="114"/>
      <c r="P49" s="115"/>
      <c r="Q49" s="198"/>
      <c r="R49" s="195"/>
      <c r="S49" s="192"/>
      <c r="T49" s="195"/>
      <c r="U49" s="192"/>
      <c r="V49" s="195"/>
      <c r="W49" s="192"/>
      <c r="X49" s="235"/>
      <c r="Y49" s="32" t="str">
        <f>L49</f>
        <v>Отсутствие заключенного договора. Ведется проработка рынка.</v>
      </c>
      <c r="Z49" s="32"/>
      <c r="AB49" s="26"/>
      <c r="AC49" s="26"/>
    </row>
    <row r="50" spans="1:32" s="25" customFormat="1" ht="78.75" x14ac:dyDescent="0.25">
      <c r="A50" s="102" t="s">
        <v>64</v>
      </c>
      <c r="B50" s="232"/>
      <c r="C50" s="125" t="s">
        <v>91</v>
      </c>
      <c r="D50" s="59" t="s">
        <v>33</v>
      </c>
      <c r="E50" s="59">
        <v>1</v>
      </c>
      <c r="F50" s="59">
        <v>0</v>
      </c>
      <c r="G50" s="39">
        <v>2023</v>
      </c>
      <c r="H50" s="32"/>
      <c r="I50" s="118">
        <v>2370.4713089285715</v>
      </c>
      <c r="J50" s="36">
        <v>0</v>
      </c>
      <c r="K50" s="28">
        <f>I50-J50</f>
        <v>2370.4713089285715</v>
      </c>
      <c r="L50" s="39" t="s">
        <v>83</v>
      </c>
      <c r="M50" s="117">
        <f>I50</f>
        <v>2370.4713089285715</v>
      </c>
      <c r="N50" s="113"/>
      <c r="O50" s="114"/>
      <c r="P50" s="115"/>
      <c r="Q50" s="198"/>
      <c r="R50" s="195"/>
      <c r="S50" s="192"/>
      <c r="T50" s="195"/>
      <c r="U50" s="192"/>
      <c r="V50" s="195"/>
      <c r="W50" s="192"/>
      <c r="X50" s="235"/>
      <c r="Y50" s="32" t="str">
        <f>L50</f>
        <v>Отсутствие заключенного договора. Ведется проработка рынка.</v>
      </c>
      <c r="Z50" s="32"/>
      <c r="AB50" s="26"/>
      <c r="AC50" s="26"/>
    </row>
    <row r="51" spans="1:32" s="25" customFormat="1" ht="79.5" thickBot="1" x14ac:dyDescent="0.3">
      <c r="A51" s="104" t="s">
        <v>65</v>
      </c>
      <c r="B51" s="233"/>
      <c r="C51" s="126" t="s">
        <v>113</v>
      </c>
      <c r="D51" s="64" t="s">
        <v>33</v>
      </c>
      <c r="E51" s="64">
        <v>1</v>
      </c>
      <c r="F51" s="64">
        <v>0</v>
      </c>
      <c r="G51" s="178">
        <v>2023</v>
      </c>
      <c r="H51" s="42"/>
      <c r="I51" s="119">
        <v>7098.2142857142844</v>
      </c>
      <c r="J51" s="47">
        <v>0</v>
      </c>
      <c r="K51" s="65">
        <f>I51-J51</f>
        <v>7098.2142857142844</v>
      </c>
      <c r="L51" s="98" t="s">
        <v>83</v>
      </c>
      <c r="M51" s="120">
        <v>2588.1431041304968</v>
      </c>
      <c r="N51" s="121">
        <v>4510.0711815837876</v>
      </c>
      <c r="O51" s="122"/>
      <c r="P51" s="123"/>
      <c r="Q51" s="199"/>
      <c r="R51" s="196"/>
      <c r="S51" s="193"/>
      <c r="T51" s="196"/>
      <c r="U51" s="193"/>
      <c r="V51" s="196"/>
      <c r="W51" s="193"/>
      <c r="X51" s="236"/>
      <c r="Y51" s="42" t="str">
        <f>L51</f>
        <v>Отсутствие заключенного договора. Ведется проработка рынка.</v>
      </c>
      <c r="Z51" s="42"/>
      <c r="AB51" s="26"/>
      <c r="AC51" s="26"/>
    </row>
    <row r="52" spans="1:32" s="25" customFormat="1" x14ac:dyDescent="0.25">
      <c r="AA52" s="40"/>
      <c r="AB52" s="41"/>
      <c r="AC52" s="26"/>
    </row>
    <row r="53" spans="1:32" ht="15" customHeight="1" x14ac:dyDescent="0.25">
      <c r="A53" s="182" t="s">
        <v>30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"/>
      <c r="AB53" s="4"/>
    </row>
    <row r="54" spans="1:32" x14ac:dyDescent="0.25">
      <c r="A54" s="182" t="s">
        <v>101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"/>
      <c r="AB54" s="4"/>
    </row>
    <row r="55" spans="1:32" x14ac:dyDescent="0.25">
      <c r="A55" s="202" t="s">
        <v>104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1"/>
      <c r="AB55" s="4"/>
    </row>
    <row r="56" spans="1:32" ht="16.5" thickBot="1" x14ac:dyDescent="0.3">
      <c r="I56" s="67">
        <v>17649.321</v>
      </c>
      <c r="J56" s="9">
        <f>I62</f>
        <v>17649.32113392857</v>
      </c>
      <c r="K56" s="9">
        <f>I56-J56</f>
        <v>-1.3392856999416836E-4</v>
      </c>
      <c r="M56" s="6"/>
      <c r="N56" s="6"/>
      <c r="AA56" s="1"/>
      <c r="AB56" s="4"/>
    </row>
    <row r="57" spans="1:32" ht="75.75" customHeight="1" thickBot="1" x14ac:dyDescent="0.3">
      <c r="A57" s="185" t="s">
        <v>0</v>
      </c>
      <c r="B57" s="205" t="s">
        <v>1</v>
      </c>
      <c r="C57" s="206"/>
      <c r="D57" s="206"/>
      <c r="E57" s="206"/>
      <c r="F57" s="206"/>
      <c r="G57" s="207"/>
      <c r="H57" s="183" t="s">
        <v>2</v>
      </c>
      <c r="I57" s="206" t="s">
        <v>3</v>
      </c>
      <c r="J57" s="206"/>
      <c r="K57" s="206"/>
      <c r="L57" s="207"/>
      <c r="M57" s="205" t="s">
        <v>12</v>
      </c>
      <c r="N57" s="206"/>
      <c r="O57" s="206"/>
      <c r="P57" s="207"/>
      <c r="Q57" s="205" t="s">
        <v>13</v>
      </c>
      <c r="R57" s="206"/>
      <c r="S57" s="206"/>
      <c r="T57" s="206"/>
      <c r="U57" s="206"/>
      <c r="V57" s="206"/>
      <c r="W57" s="206"/>
      <c r="X57" s="207"/>
      <c r="Y57" s="183" t="s">
        <v>14</v>
      </c>
      <c r="Z57" s="183" t="s">
        <v>15</v>
      </c>
      <c r="AA57" s="1"/>
      <c r="AB57" s="4"/>
    </row>
    <row r="58" spans="1:32" ht="129" customHeight="1" thickBot="1" x14ac:dyDescent="0.3">
      <c r="A58" s="204"/>
      <c r="B58" s="183" t="s">
        <v>4</v>
      </c>
      <c r="C58" s="183" t="s">
        <v>5</v>
      </c>
      <c r="D58" s="183" t="s">
        <v>6</v>
      </c>
      <c r="E58" s="205" t="s">
        <v>7</v>
      </c>
      <c r="F58" s="207"/>
      <c r="G58" s="183" t="s">
        <v>8</v>
      </c>
      <c r="H58" s="189"/>
      <c r="I58" s="186" t="s">
        <v>43</v>
      </c>
      <c r="J58" s="183" t="s">
        <v>44</v>
      </c>
      <c r="K58" s="183" t="s">
        <v>45</v>
      </c>
      <c r="L58" s="183" t="s">
        <v>9</v>
      </c>
      <c r="M58" s="185" t="s">
        <v>16</v>
      </c>
      <c r="N58" s="186"/>
      <c r="O58" s="183" t="s">
        <v>17</v>
      </c>
      <c r="P58" s="183" t="s">
        <v>18</v>
      </c>
      <c r="Q58" s="185" t="s">
        <v>19</v>
      </c>
      <c r="R58" s="186"/>
      <c r="S58" s="185" t="s">
        <v>20</v>
      </c>
      <c r="T58" s="186"/>
      <c r="U58" s="185" t="s">
        <v>21</v>
      </c>
      <c r="V58" s="186"/>
      <c r="W58" s="185" t="s">
        <v>22</v>
      </c>
      <c r="X58" s="186"/>
      <c r="Y58" s="189"/>
      <c r="Z58" s="189"/>
      <c r="AA58" s="1"/>
      <c r="AB58" s="4"/>
    </row>
    <row r="59" spans="1:32" ht="66.75" customHeight="1" thickBot="1" x14ac:dyDescent="0.3">
      <c r="A59" s="204"/>
      <c r="B59" s="189"/>
      <c r="C59" s="189"/>
      <c r="D59" s="189"/>
      <c r="E59" s="183" t="s">
        <v>10</v>
      </c>
      <c r="F59" s="183" t="s">
        <v>11</v>
      </c>
      <c r="G59" s="189"/>
      <c r="H59" s="189"/>
      <c r="I59" s="190"/>
      <c r="J59" s="189"/>
      <c r="K59" s="189"/>
      <c r="L59" s="189"/>
      <c r="M59" s="187"/>
      <c r="N59" s="188"/>
      <c r="O59" s="189"/>
      <c r="P59" s="189"/>
      <c r="Q59" s="187"/>
      <c r="R59" s="188"/>
      <c r="S59" s="187"/>
      <c r="T59" s="188"/>
      <c r="U59" s="187"/>
      <c r="V59" s="188"/>
      <c r="W59" s="187"/>
      <c r="X59" s="188"/>
      <c r="Y59" s="189"/>
      <c r="Z59" s="189"/>
      <c r="AA59" s="1"/>
      <c r="AB59" s="4"/>
    </row>
    <row r="60" spans="1:32" ht="63.75" thickBot="1" x14ac:dyDescent="0.3">
      <c r="A60" s="187"/>
      <c r="B60" s="184"/>
      <c r="C60" s="184"/>
      <c r="D60" s="184"/>
      <c r="E60" s="184"/>
      <c r="F60" s="184"/>
      <c r="G60" s="184"/>
      <c r="H60" s="184"/>
      <c r="I60" s="188"/>
      <c r="J60" s="184"/>
      <c r="K60" s="184"/>
      <c r="L60" s="184"/>
      <c r="M60" s="10" t="s">
        <v>46</v>
      </c>
      <c r="N60" s="10" t="s">
        <v>47</v>
      </c>
      <c r="O60" s="184"/>
      <c r="P60" s="184"/>
      <c r="Q60" s="10" t="s">
        <v>23</v>
      </c>
      <c r="R60" s="11" t="s">
        <v>24</v>
      </c>
      <c r="S60" s="11" t="s">
        <v>23</v>
      </c>
      <c r="T60" s="11" t="s">
        <v>24</v>
      </c>
      <c r="U60" s="11" t="s">
        <v>10</v>
      </c>
      <c r="V60" s="11" t="s">
        <v>11</v>
      </c>
      <c r="W60" s="11" t="s">
        <v>23</v>
      </c>
      <c r="X60" s="11" t="s">
        <v>24</v>
      </c>
      <c r="Y60" s="184"/>
      <c r="Z60" s="184"/>
      <c r="AA60" s="1"/>
      <c r="AB60" s="4"/>
    </row>
    <row r="61" spans="1:32" ht="16.5" thickBot="1" x14ac:dyDescent="0.3">
      <c r="A61" s="68">
        <v>1</v>
      </c>
      <c r="B61" s="13">
        <v>2</v>
      </c>
      <c r="C61" s="69">
        <v>3</v>
      </c>
      <c r="D61" s="69">
        <v>4</v>
      </c>
      <c r="E61" s="69">
        <v>5</v>
      </c>
      <c r="F61" s="69">
        <v>6</v>
      </c>
      <c r="G61" s="69">
        <v>7</v>
      </c>
      <c r="H61" s="13">
        <v>8</v>
      </c>
      <c r="I61" s="69">
        <v>9</v>
      </c>
      <c r="J61" s="69">
        <v>10</v>
      </c>
      <c r="K61" s="69">
        <v>11</v>
      </c>
      <c r="L61" s="69">
        <v>12</v>
      </c>
      <c r="M61" s="13">
        <v>13</v>
      </c>
      <c r="N61" s="69">
        <v>14</v>
      </c>
      <c r="O61" s="69">
        <v>15</v>
      </c>
      <c r="P61" s="69">
        <v>16</v>
      </c>
      <c r="Q61" s="13">
        <v>17</v>
      </c>
      <c r="R61" s="69">
        <v>18</v>
      </c>
      <c r="S61" s="69">
        <v>19</v>
      </c>
      <c r="T61" s="69">
        <v>20</v>
      </c>
      <c r="U61" s="69">
        <v>21</v>
      </c>
      <c r="V61" s="69">
        <v>22</v>
      </c>
      <c r="W61" s="69">
        <v>23</v>
      </c>
      <c r="X61" s="69">
        <v>24</v>
      </c>
      <c r="Y61" s="13">
        <v>25</v>
      </c>
      <c r="Z61" s="13">
        <v>26</v>
      </c>
      <c r="AA61" s="1"/>
      <c r="AB61" s="4"/>
    </row>
    <row r="62" spans="1:32" s="25" customFormat="1" ht="15" customHeight="1" x14ac:dyDescent="0.25">
      <c r="A62" s="220">
        <v>1</v>
      </c>
      <c r="B62" s="212" t="s">
        <v>108</v>
      </c>
      <c r="C62" s="70" t="s">
        <v>32</v>
      </c>
      <c r="D62" s="16"/>
      <c r="E62" s="17"/>
      <c r="F62" s="18"/>
      <c r="G62" s="19"/>
      <c r="H62" s="16"/>
      <c r="I62" s="20">
        <f>SUM(I63:I63)</f>
        <v>17649.32113392857</v>
      </c>
      <c r="J62" s="21">
        <f>SUM(J63:J63)</f>
        <v>0</v>
      </c>
      <c r="K62" s="22">
        <f>SUM(K63:K63)</f>
        <v>17649.32113392857</v>
      </c>
      <c r="L62" s="71"/>
      <c r="M62" s="23">
        <f>SUM(M63:M63)</f>
        <v>4991.3560317375286</v>
      </c>
      <c r="N62" s="22">
        <f>SUM(N63:N63)</f>
        <v>12657.965102191041</v>
      </c>
      <c r="O62" s="21">
        <f>SUM(O63:O63)</f>
        <v>0</v>
      </c>
      <c r="P62" s="72">
        <f>SUM(P63:P63)</f>
        <v>0</v>
      </c>
      <c r="Q62" s="215" t="s">
        <v>40</v>
      </c>
      <c r="R62" s="216" t="s">
        <v>40</v>
      </c>
      <c r="S62" s="217" t="s">
        <v>40</v>
      </c>
      <c r="T62" s="216" t="s">
        <v>40</v>
      </c>
      <c r="U62" s="221">
        <v>0.1278</v>
      </c>
      <c r="V62" s="223">
        <v>0.1278</v>
      </c>
      <c r="W62" s="225">
        <v>3</v>
      </c>
      <c r="X62" s="227">
        <v>5</v>
      </c>
      <c r="Y62" s="218" t="str">
        <f>L63</f>
        <v>Отсутствие заключенного договора. Ведется проработка рынка.</v>
      </c>
      <c r="Z62" s="220" t="s">
        <v>41</v>
      </c>
      <c r="AB62" s="26"/>
      <c r="AC62" s="26"/>
    </row>
    <row r="63" spans="1:32" s="25" customFormat="1" ht="127.5" customHeight="1" thickBot="1" x14ac:dyDescent="0.3">
      <c r="A63" s="219"/>
      <c r="B63" s="214"/>
      <c r="C63" s="42" t="s">
        <v>114</v>
      </c>
      <c r="D63" s="42" t="s">
        <v>33</v>
      </c>
      <c r="E63" s="44">
        <v>1</v>
      </c>
      <c r="F63" s="51">
        <v>0</v>
      </c>
      <c r="G63" s="43" t="s">
        <v>42</v>
      </c>
      <c r="H63" s="42"/>
      <c r="I63" s="46">
        <f>19767.23967/1.12</f>
        <v>17649.32113392857</v>
      </c>
      <c r="J63" s="47">
        <v>0</v>
      </c>
      <c r="K63" s="65">
        <f>I63-J63</f>
        <v>17649.32113392857</v>
      </c>
      <c r="L63" s="50" t="s">
        <v>83</v>
      </c>
      <c r="M63" s="49">
        <v>4991.3560317375286</v>
      </c>
      <c r="N63" s="47">
        <v>12657.965102191041</v>
      </c>
      <c r="O63" s="47">
        <v>0</v>
      </c>
      <c r="P63" s="45">
        <v>0</v>
      </c>
      <c r="Q63" s="199"/>
      <c r="R63" s="196"/>
      <c r="S63" s="193"/>
      <c r="T63" s="196"/>
      <c r="U63" s="222"/>
      <c r="V63" s="224"/>
      <c r="W63" s="226"/>
      <c r="X63" s="228"/>
      <c r="Y63" s="219"/>
      <c r="Z63" s="219"/>
      <c r="AA63" s="29"/>
      <c r="AB63" s="30">
        <f>0.757512402983999/1.12</f>
        <v>0.67635035980714187</v>
      </c>
      <c r="AC63" s="30">
        <f>AB63*1000</f>
        <v>676.3503598071419</v>
      </c>
      <c r="AD63" s="29" t="b">
        <f>AC63=I63</f>
        <v>0</v>
      </c>
      <c r="AF63" s="73"/>
    </row>
    <row r="64" spans="1:32" s="25" customFormat="1" x14ac:dyDescent="0.25">
      <c r="AA64" s="40"/>
      <c r="AB64" s="41"/>
      <c r="AC64" s="26"/>
    </row>
    <row r="65" spans="1:30" x14ac:dyDescent="0.25">
      <c r="A65" s="182" t="s">
        <v>30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"/>
      <c r="AB65" s="4"/>
    </row>
    <row r="66" spans="1:30" x14ac:dyDescent="0.25">
      <c r="A66" s="182" t="s">
        <v>101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"/>
      <c r="AB66" s="4"/>
    </row>
    <row r="67" spans="1:30" x14ac:dyDescent="0.25">
      <c r="A67" s="202" t="s">
        <v>105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1"/>
      <c r="AB67" s="4"/>
    </row>
    <row r="68" spans="1:30" ht="16.5" thickBot="1" x14ac:dyDescent="0.3">
      <c r="I68" s="67">
        <v>32144.774000000001</v>
      </c>
      <c r="J68" s="9">
        <f>I74</f>
        <v>32144.773898691514</v>
      </c>
      <c r="K68" s="9">
        <f>I68-J68</f>
        <v>1.0130848750122823E-4</v>
      </c>
      <c r="M68" s="6"/>
      <c r="N68" s="6"/>
      <c r="AA68" s="1"/>
      <c r="AB68" s="4"/>
    </row>
    <row r="69" spans="1:30" ht="75.75" customHeight="1" thickBot="1" x14ac:dyDescent="0.3">
      <c r="A69" s="185" t="s">
        <v>0</v>
      </c>
      <c r="B69" s="205" t="s">
        <v>1</v>
      </c>
      <c r="C69" s="206"/>
      <c r="D69" s="206"/>
      <c r="E69" s="206"/>
      <c r="F69" s="206"/>
      <c r="G69" s="207"/>
      <c r="H69" s="183" t="s">
        <v>2</v>
      </c>
      <c r="I69" s="206" t="s">
        <v>3</v>
      </c>
      <c r="J69" s="206"/>
      <c r="K69" s="206"/>
      <c r="L69" s="207"/>
      <c r="M69" s="205" t="s">
        <v>12</v>
      </c>
      <c r="N69" s="206"/>
      <c r="O69" s="206"/>
      <c r="P69" s="207"/>
      <c r="Q69" s="205" t="s">
        <v>13</v>
      </c>
      <c r="R69" s="206"/>
      <c r="S69" s="206"/>
      <c r="T69" s="206"/>
      <c r="U69" s="206"/>
      <c r="V69" s="206"/>
      <c r="W69" s="206"/>
      <c r="X69" s="207"/>
      <c r="Y69" s="183" t="s">
        <v>14</v>
      </c>
      <c r="Z69" s="183" t="s">
        <v>15</v>
      </c>
      <c r="AA69" s="1"/>
      <c r="AB69" s="4"/>
    </row>
    <row r="70" spans="1:30" ht="112.5" customHeight="1" thickBot="1" x14ac:dyDescent="0.3">
      <c r="A70" s="204"/>
      <c r="B70" s="183" t="s">
        <v>4</v>
      </c>
      <c r="C70" s="183" t="s">
        <v>5</v>
      </c>
      <c r="D70" s="183" t="s">
        <v>6</v>
      </c>
      <c r="E70" s="205" t="s">
        <v>7</v>
      </c>
      <c r="F70" s="207"/>
      <c r="G70" s="183" t="s">
        <v>8</v>
      </c>
      <c r="H70" s="189"/>
      <c r="I70" s="186" t="s">
        <v>43</v>
      </c>
      <c r="J70" s="183" t="s">
        <v>44</v>
      </c>
      <c r="K70" s="183" t="s">
        <v>45</v>
      </c>
      <c r="L70" s="183" t="s">
        <v>9</v>
      </c>
      <c r="M70" s="185" t="s">
        <v>16</v>
      </c>
      <c r="N70" s="186"/>
      <c r="O70" s="183" t="s">
        <v>17</v>
      </c>
      <c r="P70" s="183" t="s">
        <v>18</v>
      </c>
      <c r="Q70" s="185" t="s">
        <v>19</v>
      </c>
      <c r="R70" s="186"/>
      <c r="S70" s="185" t="s">
        <v>20</v>
      </c>
      <c r="T70" s="186"/>
      <c r="U70" s="185" t="s">
        <v>21</v>
      </c>
      <c r="V70" s="186"/>
      <c r="W70" s="185" t="s">
        <v>22</v>
      </c>
      <c r="X70" s="186"/>
      <c r="Y70" s="189"/>
      <c r="Z70" s="189"/>
      <c r="AA70" s="1"/>
      <c r="AB70" s="4"/>
    </row>
    <row r="71" spans="1:30" ht="81.75" customHeight="1" thickBot="1" x14ac:dyDescent="0.3">
      <c r="A71" s="204"/>
      <c r="B71" s="189"/>
      <c r="C71" s="189"/>
      <c r="D71" s="189"/>
      <c r="E71" s="183" t="s">
        <v>10</v>
      </c>
      <c r="F71" s="183" t="s">
        <v>11</v>
      </c>
      <c r="G71" s="189"/>
      <c r="H71" s="189"/>
      <c r="I71" s="190"/>
      <c r="J71" s="189"/>
      <c r="K71" s="189"/>
      <c r="L71" s="189"/>
      <c r="M71" s="187"/>
      <c r="N71" s="188"/>
      <c r="O71" s="189"/>
      <c r="P71" s="189"/>
      <c r="Q71" s="187"/>
      <c r="R71" s="188"/>
      <c r="S71" s="187"/>
      <c r="T71" s="188"/>
      <c r="U71" s="187"/>
      <c r="V71" s="188"/>
      <c r="W71" s="187"/>
      <c r="X71" s="188"/>
      <c r="Y71" s="189"/>
      <c r="Z71" s="189"/>
      <c r="AA71" s="1"/>
      <c r="AB71" s="4"/>
    </row>
    <row r="72" spans="1:30" ht="63.75" thickBot="1" x14ac:dyDescent="0.3">
      <c r="A72" s="187"/>
      <c r="B72" s="184"/>
      <c r="C72" s="184"/>
      <c r="D72" s="184"/>
      <c r="E72" s="184"/>
      <c r="F72" s="184"/>
      <c r="G72" s="184"/>
      <c r="H72" s="184"/>
      <c r="I72" s="188"/>
      <c r="J72" s="184"/>
      <c r="K72" s="184"/>
      <c r="L72" s="184"/>
      <c r="M72" s="10" t="s">
        <v>46</v>
      </c>
      <c r="N72" s="10" t="s">
        <v>47</v>
      </c>
      <c r="O72" s="184"/>
      <c r="P72" s="184"/>
      <c r="Q72" s="10" t="s">
        <v>23</v>
      </c>
      <c r="R72" s="11" t="s">
        <v>24</v>
      </c>
      <c r="S72" s="11" t="s">
        <v>23</v>
      </c>
      <c r="T72" s="11" t="s">
        <v>24</v>
      </c>
      <c r="U72" s="11" t="s">
        <v>10</v>
      </c>
      <c r="V72" s="11" t="s">
        <v>11</v>
      </c>
      <c r="W72" s="11" t="s">
        <v>23</v>
      </c>
      <c r="X72" s="11" t="s">
        <v>24</v>
      </c>
      <c r="Y72" s="184"/>
      <c r="Z72" s="184"/>
      <c r="AA72" s="1"/>
      <c r="AB72" s="4"/>
    </row>
    <row r="73" spans="1:30" ht="16.5" thickBot="1" x14ac:dyDescent="0.3">
      <c r="A73" s="12">
        <v>1</v>
      </c>
      <c r="B73" s="15">
        <v>2</v>
      </c>
      <c r="C73" s="14">
        <v>3</v>
      </c>
      <c r="D73" s="14">
        <v>4</v>
      </c>
      <c r="E73" s="14">
        <v>5</v>
      </c>
      <c r="F73" s="14">
        <v>6</v>
      </c>
      <c r="G73" s="14">
        <v>7</v>
      </c>
      <c r="H73" s="15">
        <v>8</v>
      </c>
      <c r="I73" s="14">
        <v>9</v>
      </c>
      <c r="J73" s="14">
        <v>10</v>
      </c>
      <c r="K73" s="14">
        <v>11</v>
      </c>
      <c r="L73" s="14">
        <v>12</v>
      </c>
      <c r="M73" s="15">
        <v>13</v>
      </c>
      <c r="N73" s="14">
        <v>14</v>
      </c>
      <c r="O73" s="14">
        <v>15</v>
      </c>
      <c r="P73" s="14">
        <v>16</v>
      </c>
      <c r="Q73" s="15">
        <v>17</v>
      </c>
      <c r="R73" s="14">
        <v>18</v>
      </c>
      <c r="S73" s="14">
        <v>19</v>
      </c>
      <c r="T73" s="14">
        <v>20</v>
      </c>
      <c r="U73" s="14">
        <v>21</v>
      </c>
      <c r="V73" s="14">
        <v>22</v>
      </c>
      <c r="W73" s="14">
        <v>23</v>
      </c>
      <c r="X73" s="14">
        <v>24</v>
      </c>
      <c r="Y73" s="15">
        <v>25</v>
      </c>
      <c r="Z73" s="15">
        <v>26</v>
      </c>
      <c r="AA73" s="1"/>
      <c r="AB73" s="4"/>
    </row>
    <row r="74" spans="1:30" s="25" customFormat="1" ht="21.75" customHeight="1" x14ac:dyDescent="0.25">
      <c r="A74" s="54"/>
      <c r="B74" s="212" t="s">
        <v>111</v>
      </c>
      <c r="C74" s="70" t="s">
        <v>32</v>
      </c>
      <c r="D74" s="16"/>
      <c r="E74" s="17"/>
      <c r="F74" s="18"/>
      <c r="G74" s="19"/>
      <c r="H74" s="16"/>
      <c r="I74" s="20">
        <f>SUM(I75:I76)</f>
        <v>32144.773898691514</v>
      </c>
      <c r="J74" s="74">
        <f>SUM(J75:J76)</f>
        <v>0</v>
      </c>
      <c r="K74" s="20">
        <f>SUM(K75:K76)</f>
        <v>32144.773898691514</v>
      </c>
      <c r="L74" s="18"/>
      <c r="M74" s="23">
        <f>SUM(M75:M76)</f>
        <v>9034.2576558707988</v>
      </c>
      <c r="N74" s="22">
        <f>SUM(N75:N76)</f>
        <v>23110.516242820719</v>
      </c>
      <c r="O74" s="21">
        <f>SUM(O75:O76)</f>
        <v>0</v>
      </c>
      <c r="P74" s="21">
        <f>SUM(P75:P76)</f>
        <v>0</v>
      </c>
      <c r="Q74" s="17"/>
      <c r="R74" s="71"/>
      <c r="S74" s="17"/>
      <c r="T74" s="18"/>
      <c r="U74" s="17"/>
      <c r="V74" s="18"/>
      <c r="W74" s="24"/>
      <c r="X74" s="18"/>
      <c r="Y74" s="16"/>
      <c r="Z74" s="16"/>
      <c r="AB74" s="26"/>
      <c r="AC74" s="26"/>
    </row>
    <row r="75" spans="1:30" s="25" customFormat="1" ht="94.5" x14ac:dyDescent="0.25">
      <c r="A75" s="75">
        <v>1</v>
      </c>
      <c r="B75" s="213"/>
      <c r="C75" s="76" t="s">
        <v>115</v>
      </c>
      <c r="D75" s="32" t="s">
        <v>35</v>
      </c>
      <c r="E75" s="33">
        <v>1</v>
      </c>
      <c r="F75" s="77">
        <v>0</v>
      </c>
      <c r="G75" s="78">
        <v>2022</v>
      </c>
      <c r="H75" s="76"/>
      <c r="I75" s="79">
        <f>18881.928/1.12</f>
        <v>16858.864285714284</v>
      </c>
      <c r="J75" s="80">
        <v>0</v>
      </c>
      <c r="K75" s="28">
        <f>I75-J75</f>
        <v>16858.864285714284</v>
      </c>
      <c r="L75" s="81" t="s">
        <v>83</v>
      </c>
      <c r="M75" s="82">
        <f>32144.7738986915-23110.5162428207</f>
        <v>9034.2576558707988</v>
      </c>
      <c r="N75" s="80">
        <f>I75-M75</f>
        <v>7824.6066298434853</v>
      </c>
      <c r="O75" s="80">
        <v>0</v>
      </c>
      <c r="P75" s="81">
        <v>0</v>
      </c>
      <c r="Q75" s="33" t="s">
        <v>40</v>
      </c>
      <c r="R75" s="83" t="s">
        <v>40</v>
      </c>
      <c r="S75" s="33" t="s">
        <v>40</v>
      </c>
      <c r="T75" s="39" t="s">
        <v>40</v>
      </c>
      <c r="U75" s="210">
        <v>9.0999999999999998E-2</v>
      </c>
      <c r="V75" s="208">
        <v>9.0999999999999998E-2</v>
      </c>
      <c r="W75" s="197">
        <v>5</v>
      </c>
      <c r="X75" s="194">
        <v>3</v>
      </c>
      <c r="Y75" s="138" t="str">
        <f>L75</f>
        <v>Отсутствие заключенного договора. Ведется проработка рынка.</v>
      </c>
      <c r="Z75" s="32" t="s">
        <v>41</v>
      </c>
      <c r="AB75" s="26"/>
      <c r="AC75" s="26"/>
    </row>
    <row r="76" spans="1:30" s="25" customFormat="1" ht="97.5" customHeight="1" thickBot="1" x14ac:dyDescent="0.3">
      <c r="A76" s="63">
        <v>2</v>
      </c>
      <c r="B76" s="214"/>
      <c r="C76" s="42" t="s">
        <v>89</v>
      </c>
      <c r="D76" s="42" t="s">
        <v>34</v>
      </c>
      <c r="E76" s="44">
        <v>1</v>
      </c>
      <c r="F76" s="51">
        <v>0</v>
      </c>
      <c r="G76" s="43">
        <v>2022</v>
      </c>
      <c r="H76" s="42"/>
      <c r="I76" s="46">
        <f>17120.2187665345/1.12</f>
        <v>15285.909612977232</v>
      </c>
      <c r="J76" s="47">
        <v>0</v>
      </c>
      <c r="K76" s="47">
        <f>I76-J76</f>
        <v>15285.909612977232</v>
      </c>
      <c r="L76" s="45" t="s">
        <v>83</v>
      </c>
      <c r="M76" s="66"/>
      <c r="N76" s="47">
        <f>I76</f>
        <v>15285.909612977232</v>
      </c>
      <c r="O76" s="47">
        <v>0</v>
      </c>
      <c r="P76" s="45">
        <v>0</v>
      </c>
      <c r="Q76" s="44" t="s">
        <v>40</v>
      </c>
      <c r="R76" s="88" t="s">
        <v>40</v>
      </c>
      <c r="S76" s="44" t="s">
        <v>40</v>
      </c>
      <c r="T76" s="51" t="s">
        <v>40</v>
      </c>
      <c r="U76" s="211"/>
      <c r="V76" s="209"/>
      <c r="W76" s="199"/>
      <c r="X76" s="196"/>
      <c r="Y76" s="167" t="str">
        <f>L76</f>
        <v>Отсутствие заключенного договора. Ведется проработка рынка.</v>
      </c>
      <c r="Z76" s="42" t="s">
        <v>41</v>
      </c>
      <c r="AA76" s="40"/>
      <c r="AB76" s="41">
        <f>'[2]ИП 21_на 01.07.'!$BI$168/1.12</f>
        <v>1.3228828095785714</v>
      </c>
      <c r="AC76" s="41">
        <f>AB76*1000</f>
        <v>1322.8828095785714</v>
      </c>
      <c r="AD76" s="40" t="b">
        <f>I76=AC76</f>
        <v>0</v>
      </c>
    </row>
    <row r="77" spans="1:30" s="25" customFormat="1" x14ac:dyDescent="0.25">
      <c r="AB77" s="26"/>
      <c r="AC77" s="26"/>
    </row>
    <row r="78" spans="1:30" x14ac:dyDescent="0.25">
      <c r="A78" s="182" t="s">
        <v>30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"/>
      <c r="AB78" s="4"/>
    </row>
    <row r="79" spans="1:30" x14ac:dyDescent="0.25">
      <c r="A79" s="182" t="s">
        <v>101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"/>
      <c r="AB79" s="4"/>
    </row>
    <row r="80" spans="1:30" x14ac:dyDescent="0.25">
      <c r="A80" s="202" t="s">
        <v>36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1"/>
      <c r="AB80" s="4"/>
    </row>
    <row r="81" spans="1:30" x14ac:dyDescent="0.25">
      <c r="A81" s="182" t="s">
        <v>31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"/>
      <c r="AB81" s="4"/>
    </row>
    <row r="82" spans="1:30" ht="16.5" thickBot="1" x14ac:dyDescent="0.3">
      <c r="I82" s="8">
        <v>11021.81</v>
      </c>
      <c r="J82" s="9">
        <f>I88</f>
        <v>11021.810696428571</v>
      </c>
      <c r="K82" s="9">
        <f>I82-J82</f>
        <v>-6.9642857124563307E-4</v>
      </c>
      <c r="M82" s="6"/>
      <c r="N82" s="6"/>
      <c r="AA82" s="1"/>
      <c r="AB82" s="4"/>
    </row>
    <row r="83" spans="1:30" ht="75.75" customHeight="1" thickBot="1" x14ac:dyDescent="0.3">
      <c r="A83" s="185" t="s">
        <v>0</v>
      </c>
      <c r="B83" s="205" t="s">
        <v>1</v>
      </c>
      <c r="C83" s="206"/>
      <c r="D83" s="206"/>
      <c r="E83" s="206"/>
      <c r="F83" s="206"/>
      <c r="G83" s="207"/>
      <c r="H83" s="183" t="s">
        <v>2</v>
      </c>
      <c r="I83" s="206" t="s">
        <v>3</v>
      </c>
      <c r="J83" s="206"/>
      <c r="K83" s="206"/>
      <c r="L83" s="207"/>
      <c r="M83" s="205" t="s">
        <v>12</v>
      </c>
      <c r="N83" s="206"/>
      <c r="O83" s="206"/>
      <c r="P83" s="207"/>
      <c r="Q83" s="205" t="s">
        <v>13</v>
      </c>
      <c r="R83" s="206"/>
      <c r="S83" s="206"/>
      <c r="T83" s="206"/>
      <c r="U83" s="206"/>
      <c r="V83" s="206"/>
      <c r="W83" s="206"/>
      <c r="X83" s="207"/>
      <c r="Y83" s="183" t="s">
        <v>14</v>
      </c>
      <c r="Z83" s="183" t="s">
        <v>15</v>
      </c>
      <c r="AA83" s="1"/>
      <c r="AB83" s="4"/>
    </row>
    <row r="84" spans="1:30" ht="121.5" customHeight="1" thickBot="1" x14ac:dyDescent="0.3">
      <c r="A84" s="204"/>
      <c r="B84" s="183" t="s">
        <v>4</v>
      </c>
      <c r="C84" s="183" t="s">
        <v>5</v>
      </c>
      <c r="D84" s="183" t="s">
        <v>6</v>
      </c>
      <c r="E84" s="205" t="s">
        <v>7</v>
      </c>
      <c r="F84" s="207"/>
      <c r="G84" s="183" t="s">
        <v>8</v>
      </c>
      <c r="H84" s="189"/>
      <c r="I84" s="186" t="s">
        <v>43</v>
      </c>
      <c r="J84" s="183" t="s">
        <v>44</v>
      </c>
      <c r="K84" s="183" t="s">
        <v>45</v>
      </c>
      <c r="L84" s="183" t="s">
        <v>9</v>
      </c>
      <c r="M84" s="185" t="s">
        <v>16</v>
      </c>
      <c r="N84" s="186"/>
      <c r="O84" s="183" t="s">
        <v>17</v>
      </c>
      <c r="P84" s="183" t="s">
        <v>18</v>
      </c>
      <c r="Q84" s="185" t="s">
        <v>19</v>
      </c>
      <c r="R84" s="186"/>
      <c r="S84" s="185" t="s">
        <v>20</v>
      </c>
      <c r="T84" s="186"/>
      <c r="U84" s="185" t="s">
        <v>21</v>
      </c>
      <c r="V84" s="186"/>
      <c r="W84" s="185" t="s">
        <v>22</v>
      </c>
      <c r="X84" s="186"/>
      <c r="Y84" s="189"/>
      <c r="Z84" s="189"/>
      <c r="AA84" s="1"/>
      <c r="AB84" s="4"/>
    </row>
    <row r="85" spans="1:30" ht="77.25" customHeight="1" thickBot="1" x14ac:dyDescent="0.3">
      <c r="A85" s="204"/>
      <c r="B85" s="189"/>
      <c r="C85" s="189"/>
      <c r="D85" s="189"/>
      <c r="E85" s="183" t="s">
        <v>10</v>
      </c>
      <c r="F85" s="183" t="s">
        <v>11</v>
      </c>
      <c r="G85" s="189"/>
      <c r="H85" s="189"/>
      <c r="I85" s="190"/>
      <c r="J85" s="189"/>
      <c r="K85" s="189"/>
      <c r="L85" s="189"/>
      <c r="M85" s="187"/>
      <c r="N85" s="188"/>
      <c r="O85" s="189"/>
      <c r="P85" s="189"/>
      <c r="Q85" s="187"/>
      <c r="R85" s="188"/>
      <c r="S85" s="187"/>
      <c r="T85" s="188"/>
      <c r="U85" s="187"/>
      <c r="V85" s="188"/>
      <c r="W85" s="187"/>
      <c r="X85" s="188"/>
      <c r="Y85" s="189"/>
      <c r="Z85" s="189"/>
      <c r="AA85" s="1"/>
      <c r="AB85" s="4"/>
    </row>
    <row r="86" spans="1:30" ht="69" customHeight="1" thickBot="1" x14ac:dyDescent="0.3">
      <c r="A86" s="187"/>
      <c r="B86" s="184"/>
      <c r="C86" s="184"/>
      <c r="D86" s="184"/>
      <c r="E86" s="184"/>
      <c r="F86" s="184"/>
      <c r="G86" s="184"/>
      <c r="H86" s="184"/>
      <c r="I86" s="188"/>
      <c r="J86" s="184"/>
      <c r="K86" s="184"/>
      <c r="L86" s="184"/>
      <c r="M86" s="10" t="s">
        <v>46</v>
      </c>
      <c r="N86" s="10" t="s">
        <v>47</v>
      </c>
      <c r="O86" s="184"/>
      <c r="P86" s="184"/>
      <c r="Q86" s="10" t="s">
        <v>23</v>
      </c>
      <c r="R86" s="11" t="s">
        <v>24</v>
      </c>
      <c r="S86" s="11" t="s">
        <v>23</v>
      </c>
      <c r="T86" s="11" t="s">
        <v>24</v>
      </c>
      <c r="U86" s="11" t="s">
        <v>10</v>
      </c>
      <c r="V86" s="11" t="s">
        <v>11</v>
      </c>
      <c r="W86" s="11" t="s">
        <v>23</v>
      </c>
      <c r="X86" s="11" t="s">
        <v>24</v>
      </c>
      <c r="Y86" s="184"/>
      <c r="Z86" s="184"/>
      <c r="AA86" s="1"/>
      <c r="AB86" s="4"/>
    </row>
    <row r="87" spans="1:30" ht="16.5" thickBot="1" x14ac:dyDescent="0.3">
      <c r="A87" s="12">
        <v>1</v>
      </c>
      <c r="B87" s="13">
        <v>2</v>
      </c>
      <c r="C87" s="14">
        <v>3</v>
      </c>
      <c r="D87" s="14">
        <v>4</v>
      </c>
      <c r="E87" s="14">
        <v>5</v>
      </c>
      <c r="F87" s="14">
        <v>6</v>
      </c>
      <c r="G87" s="14">
        <v>7</v>
      </c>
      <c r="H87" s="15">
        <v>8</v>
      </c>
      <c r="I87" s="14">
        <v>9</v>
      </c>
      <c r="J87" s="14">
        <v>10</v>
      </c>
      <c r="K87" s="14">
        <v>11</v>
      </c>
      <c r="L87" s="14">
        <v>12</v>
      </c>
      <c r="M87" s="15">
        <v>13</v>
      </c>
      <c r="N87" s="14">
        <v>14</v>
      </c>
      <c r="O87" s="14">
        <v>15</v>
      </c>
      <c r="P87" s="14">
        <v>16</v>
      </c>
      <c r="Q87" s="15">
        <v>17</v>
      </c>
      <c r="R87" s="14">
        <v>18</v>
      </c>
      <c r="S87" s="14">
        <v>19</v>
      </c>
      <c r="T87" s="14">
        <v>20</v>
      </c>
      <c r="U87" s="14">
        <v>21</v>
      </c>
      <c r="V87" s="14">
        <v>22</v>
      </c>
      <c r="W87" s="14">
        <v>23</v>
      </c>
      <c r="X87" s="14">
        <v>24</v>
      </c>
      <c r="Y87" s="15">
        <v>25</v>
      </c>
      <c r="Z87" s="15">
        <v>26</v>
      </c>
      <c r="AA87" s="1"/>
      <c r="AB87" s="4"/>
    </row>
    <row r="88" spans="1:30" s="25" customFormat="1" ht="16.5" thickBot="1" x14ac:dyDescent="0.3">
      <c r="A88" s="95"/>
      <c r="B88" s="112"/>
      <c r="C88" s="150" t="s">
        <v>32</v>
      </c>
      <c r="D88" s="151"/>
      <c r="E88" s="97"/>
      <c r="F88" s="96"/>
      <c r="G88" s="152"/>
      <c r="H88" s="95"/>
      <c r="I88" s="129">
        <f>SUM(I89:I89)</f>
        <v>11021.810696428571</v>
      </c>
      <c r="J88" s="154">
        <f>SUM(J89:J89)</f>
        <v>6799.9319999999989</v>
      </c>
      <c r="K88" s="154">
        <f>SUM(K89:K89)</f>
        <v>4221.8786964285719</v>
      </c>
      <c r="L88" s="96"/>
      <c r="M88" s="155">
        <f>SUM(M89:M89)</f>
        <v>3262.6344874370279</v>
      </c>
      <c r="N88" s="154">
        <f>SUM(N89:N89)</f>
        <v>7759.1762089915428</v>
      </c>
      <c r="O88" s="153">
        <f>SUM(O89:O89)</f>
        <v>0</v>
      </c>
      <c r="P88" s="153">
        <f>SUM(P89:P89)</f>
        <v>0</v>
      </c>
      <c r="Q88" s="97"/>
      <c r="R88" s="96"/>
      <c r="S88" s="97"/>
      <c r="T88" s="96"/>
      <c r="U88" s="97"/>
      <c r="V88" s="96"/>
      <c r="W88" s="99"/>
      <c r="X88" s="96"/>
      <c r="Y88" s="95"/>
      <c r="Z88" s="95"/>
      <c r="AB88" s="26"/>
      <c r="AC88" s="26"/>
    </row>
    <row r="89" spans="1:30" s="31" customFormat="1" ht="205.5" thickBot="1" x14ac:dyDescent="0.3">
      <c r="A89" s="156">
        <v>1</v>
      </c>
      <c r="B89" s="176" t="s">
        <v>109</v>
      </c>
      <c r="C89" s="157" t="s">
        <v>92</v>
      </c>
      <c r="D89" s="158" t="s">
        <v>33</v>
      </c>
      <c r="E89" s="159">
        <v>1</v>
      </c>
      <c r="F89" s="160">
        <v>0</v>
      </c>
      <c r="G89" s="157">
        <v>2022</v>
      </c>
      <c r="H89" s="156"/>
      <c r="I89" s="161">
        <f>12344.42798/1.12</f>
        <v>11021.810696428571</v>
      </c>
      <c r="J89" s="162">
        <f>7615923.84/1000/1.12</f>
        <v>6799.9319999999989</v>
      </c>
      <c r="K89" s="162">
        <f>I89-J89</f>
        <v>4221.8786964285719</v>
      </c>
      <c r="L89" s="160" t="s">
        <v>117</v>
      </c>
      <c r="M89" s="163">
        <v>3262.6344874370279</v>
      </c>
      <c r="N89" s="162">
        <v>7759.1762089915428</v>
      </c>
      <c r="O89" s="162">
        <v>0</v>
      </c>
      <c r="P89" s="164">
        <v>0</v>
      </c>
      <c r="Q89" s="159" t="s">
        <v>40</v>
      </c>
      <c r="R89" s="165" t="s">
        <v>40</v>
      </c>
      <c r="S89" s="159" t="s">
        <v>40</v>
      </c>
      <c r="T89" s="165" t="s">
        <v>40</v>
      </c>
      <c r="U89" s="149" t="s">
        <v>40</v>
      </c>
      <c r="V89" s="143" t="s">
        <v>40</v>
      </c>
      <c r="W89" s="166">
        <v>6</v>
      </c>
      <c r="X89" s="143">
        <v>6</v>
      </c>
      <c r="Y89" s="168" t="str">
        <f>L89</f>
        <v>ТМЦ получен, ведется оформление разрешающих документов для начала проведения работ. Начало выполнения работ запланировано на сентябрь 2023 года.</v>
      </c>
      <c r="Z89" s="156" t="s">
        <v>41</v>
      </c>
      <c r="AA89" s="29"/>
      <c r="AB89" s="30">
        <v>1.0851301940857143</v>
      </c>
      <c r="AC89" s="30">
        <f>AB89*1000</f>
        <v>1085.1301940857143</v>
      </c>
      <c r="AD89" s="29" t="b">
        <f>I89=AC89</f>
        <v>0</v>
      </c>
    </row>
    <row r="90" spans="1:30" s="25" customFormat="1" x14ac:dyDescent="0.25">
      <c r="AA90" s="40"/>
      <c r="AB90" s="41"/>
      <c r="AC90" s="26"/>
    </row>
    <row r="91" spans="1:30" x14ac:dyDescent="0.25">
      <c r="A91" s="182" t="s">
        <v>30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89"/>
      <c r="AB91" s="4"/>
    </row>
    <row r="92" spans="1:30" x14ac:dyDescent="0.25">
      <c r="A92" s="182" t="s">
        <v>101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89"/>
      <c r="AB92" s="4"/>
    </row>
    <row r="93" spans="1:30" x14ac:dyDescent="0.25">
      <c r="A93" s="202" t="s">
        <v>37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89"/>
      <c r="AB93" s="4"/>
    </row>
    <row r="94" spans="1:30" ht="16.5" thickBot="1" x14ac:dyDescent="0.3">
      <c r="I94" s="8">
        <v>273698.77799999999</v>
      </c>
      <c r="J94" s="9">
        <f>I94-I100</f>
        <v>-2.3750000400468707E-3</v>
      </c>
      <c r="M94" s="6"/>
      <c r="N94" s="6"/>
      <c r="AA94" s="89"/>
      <c r="AB94" s="4"/>
    </row>
    <row r="95" spans="1:30" ht="75.75" customHeight="1" thickBot="1" x14ac:dyDescent="0.3">
      <c r="A95" s="185" t="s">
        <v>0</v>
      </c>
      <c r="B95" s="205" t="s">
        <v>1</v>
      </c>
      <c r="C95" s="206"/>
      <c r="D95" s="206"/>
      <c r="E95" s="206"/>
      <c r="F95" s="206"/>
      <c r="G95" s="207"/>
      <c r="H95" s="183" t="s">
        <v>2</v>
      </c>
      <c r="I95" s="206" t="s">
        <v>3</v>
      </c>
      <c r="J95" s="206"/>
      <c r="K95" s="206"/>
      <c r="L95" s="207"/>
      <c r="M95" s="205" t="s">
        <v>12</v>
      </c>
      <c r="N95" s="206"/>
      <c r="O95" s="206"/>
      <c r="P95" s="207"/>
      <c r="Q95" s="205" t="s">
        <v>13</v>
      </c>
      <c r="R95" s="206"/>
      <c r="S95" s="206"/>
      <c r="T95" s="206"/>
      <c r="U95" s="206"/>
      <c r="V95" s="206"/>
      <c r="W95" s="206"/>
      <c r="X95" s="207"/>
      <c r="Y95" s="183" t="s">
        <v>14</v>
      </c>
      <c r="Z95" s="183" t="s">
        <v>15</v>
      </c>
      <c r="AA95" s="89"/>
      <c r="AB95" s="4"/>
    </row>
    <row r="96" spans="1:30" ht="115.5" customHeight="1" thickBot="1" x14ac:dyDescent="0.3">
      <c r="A96" s="204"/>
      <c r="B96" s="183" t="s">
        <v>4</v>
      </c>
      <c r="C96" s="183" t="s">
        <v>5</v>
      </c>
      <c r="D96" s="183" t="s">
        <v>6</v>
      </c>
      <c r="E96" s="205" t="s">
        <v>7</v>
      </c>
      <c r="F96" s="207"/>
      <c r="G96" s="183" t="s">
        <v>8</v>
      </c>
      <c r="H96" s="189"/>
      <c r="I96" s="186" t="s">
        <v>43</v>
      </c>
      <c r="J96" s="183" t="s">
        <v>44</v>
      </c>
      <c r="K96" s="183" t="s">
        <v>45</v>
      </c>
      <c r="L96" s="183" t="s">
        <v>9</v>
      </c>
      <c r="M96" s="185" t="s">
        <v>16</v>
      </c>
      <c r="N96" s="186"/>
      <c r="O96" s="183" t="s">
        <v>17</v>
      </c>
      <c r="P96" s="183" t="s">
        <v>18</v>
      </c>
      <c r="Q96" s="185" t="s">
        <v>19</v>
      </c>
      <c r="R96" s="186"/>
      <c r="S96" s="185" t="s">
        <v>20</v>
      </c>
      <c r="T96" s="186"/>
      <c r="U96" s="185" t="s">
        <v>21</v>
      </c>
      <c r="V96" s="186"/>
      <c r="W96" s="185" t="s">
        <v>22</v>
      </c>
      <c r="X96" s="186"/>
      <c r="Y96" s="189"/>
      <c r="Z96" s="189"/>
      <c r="AA96" s="89"/>
      <c r="AB96" s="4"/>
    </row>
    <row r="97" spans="1:33" ht="84" customHeight="1" thickBot="1" x14ac:dyDescent="0.3">
      <c r="A97" s="204"/>
      <c r="B97" s="189"/>
      <c r="C97" s="189"/>
      <c r="D97" s="189"/>
      <c r="E97" s="183" t="s">
        <v>10</v>
      </c>
      <c r="F97" s="183" t="s">
        <v>11</v>
      </c>
      <c r="G97" s="189"/>
      <c r="H97" s="189"/>
      <c r="I97" s="190"/>
      <c r="J97" s="189"/>
      <c r="K97" s="189"/>
      <c r="L97" s="189"/>
      <c r="M97" s="187"/>
      <c r="N97" s="188"/>
      <c r="O97" s="189"/>
      <c r="P97" s="189"/>
      <c r="Q97" s="187"/>
      <c r="R97" s="188"/>
      <c r="S97" s="187"/>
      <c r="T97" s="188"/>
      <c r="U97" s="187"/>
      <c r="V97" s="188"/>
      <c r="W97" s="187"/>
      <c r="X97" s="188"/>
      <c r="Y97" s="189"/>
      <c r="Z97" s="189"/>
      <c r="AA97" s="89"/>
      <c r="AB97" s="4"/>
    </row>
    <row r="98" spans="1:33" ht="63.75" thickBot="1" x14ac:dyDescent="0.3">
      <c r="A98" s="187"/>
      <c r="B98" s="184"/>
      <c r="C98" s="184"/>
      <c r="D98" s="184"/>
      <c r="E98" s="184"/>
      <c r="F98" s="184"/>
      <c r="G98" s="184"/>
      <c r="H98" s="184"/>
      <c r="I98" s="188"/>
      <c r="J98" s="184"/>
      <c r="K98" s="184"/>
      <c r="L98" s="184"/>
      <c r="M98" s="10" t="s">
        <v>46</v>
      </c>
      <c r="N98" s="10" t="s">
        <v>47</v>
      </c>
      <c r="O98" s="184"/>
      <c r="P98" s="184"/>
      <c r="Q98" s="10" t="s">
        <v>23</v>
      </c>
      <c r="R98" s="11" t="s">
        <v>24</v>
      </c>
      <c r="S98" s="11" t="s">
        <v>23</v>
      </c>
      <c r="T98" s="11" t="s">
        <v>24</v>
      </c>
      <c r="U98" s="11" t="s">
        <v>10</v>
      </c>
      <c r="V98" s="11" t="s">
        <v>11</v>
      </c>
      <c r="W98" s="11" t="s">
        <v>23</v>
      </c>
      <c r="X98" s="11" t="s">
        <v>24</v>
      </c>
      <c r="Y98" s="184"/>
      <c r="Z98" s="184"/>
      <c r="AA98" s="89"/>
      <c r="AB98" s="4"/>
    </row>
    <row r="99" spans="1:33" ht="16.5" thickBot="1" x14ac:dyDescent="0.3">
      <c r="A99" s="12">
        <v>1</v>
      </c>
      <c r="B99" s="15">
        <v>2</v>
      </c>
      <c r="C99" s="14">
        <v>3</v>
      </c>
      <c r="D99" s="14">
        <v>4</v>
      </c>
      <c r="E99" s="14">
        <v>5</v>
      </c>
      <c r="F99" s="14">
        <v>6</v>
      </c>
      <c r="G99" s="14">
        <v>7</v>
      </c>
      <c r="H99" s="15">
        <v>8</v>
      </c>
      <c r="I99" s="14">
        <v>9</v>
      </c>
      <c r="J99" s="14">
        <v>10</v>
      </c>
      <c r="K99" s="14">
        <v>11</v>
      </c>
      <c r="L99" s="14">
        <v>12</v>
      </c>
      <c r="M99" s="15">
        <v>13</v>
      </c>
      <c r="N99" s="14">
        <v>14</v>
      </c>
      <c r="O99" s="14">
        <v>15</v>
      </c>
      <c r="P99" s="14">
        <v>16</v>
      </c>
      <c r="Q99" s="15">
        <v>17</v>
      </c>
      <c r="R99" s="14">
        <v>18</v>
      </c>
      <c r="S99" s="14">
        <v>19</v>
      </c>
      <c r="T99" s="14">
        <v>20</v>
      </c>
      <c r="U99" s="14">
        <v>21</v>
      </c>
      <c r="V99" s="14">
        <v>22</v>
      </c>
      <c r="W99" s="14">
        <v>23</v>
      </c>
      <c r="X99" s="14">
        <v>24</v>
      </c>
      <c r="Y99" s="15">
        <v>25</v>
      </c>
      <c r="Z99" s="15">
        <v>26</v>
      </c>
      <c r="AA99" s="89"/>
      <c r="AB99" s="4"/>
    </row>
    <row r="100" spans="1:33" s="25" customFormat="1" ht="17.25" customHeight="1" x14ac:dyDescent="0.25">
      <c r="A100" s="54"/>
      <c r="B100" s="55"/>
      <c r="C100" s="56" t="s">
        <v>32</v>
      </c>
      <c r="D100" s="57"/>
      <c r="E100" s="57"/>
      <c r="F100" s="57"/>
      <c r="G100" s="18"/>
      <c r="H100" s="16"/>
      <c r="I100" s="20">
        <f>SUM(I101:I107)</f>
        <v>273698.78037500003</v>
      </c>
      <c r="J100" s="20">
        <f>SUM(J101:J107)</f>
        <v>1395.1</v>
      </c>
      <c r="K100" s="20">
        <f>SUM(K101:K107)</f>
        <v>272303.680375</v>
      </c>
      <c r="L100" s="18"/>
      <c r="M100" s="23">
        <f>SUM(M101:M107)</f>
        <v>130761.89237499995</v>
      </c>
      <c r="N100" s="22">
        <f>SUM(N101:N107)</f>
        <v>142936.88800000001</v>
      </c>
      <c r="O100" s="21">
        <f>SUM(O101:O107)</f>
        <v>0</v>
      </c>
      <c r="P100" s="21">
        <f>SUM(P101:P107)</f>
        <v>0</v>
      </c>
      <c r="Q100" s="17"/>
      <c r="R100" s="18"/>
      <c r="S100" s="17"/>
      <c r="T100" s="18"/>
      <c r="U100" s="17"/>
      <c r="V100" s="18"/>
      <c r="W100" s="24"/>
      <c r="X100" s="18"/>
      <c r="Y100" s="16"/>
      <c r="Z100" s="16"/>
      <c r="AA100" s="90"/>
      <c r="AB100" s="26"/>
      <c r="AC100" s="26"/>
    </row>
    <row r="101" spans="1:33" s="25" customFormat="1" ht="94.5" x14ac:dyDescent="0.25">
      <c r="A101" s="58">
        <v>1</v>
      </c>
      <c r="B101" s="200" t="s">
        <v>110</v>
      </c>
      <c r="C101" s="59" t="s">
        <v>39</v>
      </c>
      <c r="D101" s="59" t="s">
        <v>33</v>
      </c>
      <c r="E101" s="59">
        <v>1</v>
      </c>
      <c r="F101" s="36">
        <v>0</v>
      </c>
      <c r="G101" s="39">
        <v>2023</v>
      </c>
      <c r="H101" s="32"/>
      <c r="I101" s="35">
        <f>5897.26/1.12</f>
        <v>5265.4107142857138</v>
      </c>
      <c r="J101" s="36">
        <v>0</v>
      </c>
      <c r="K101" s="36">
        <f t="shared" ref="K101:K107" si="9">I101-J101</f>
        <v>5265.4107142857138</v>
      </c>
      <c r="L101" s="34" t="s">
        <v>83</v>
      </c>
      <c r="M101" s="37">
        <v>0</v>
      </c>
      <c r="N101" s="36">
        <f>I101</f>
        <v>5265.4107142857138</v>
      </c>
      <c r="O101" s="36">
        <v>0</v>
      </c>
      <c r="P101" s="38">
        <v>0</v>
      </c>
      <c r="Q101" s="33" t="s">
        <v>40</v>
      </c>
      <c r="R101" s="39" t="s">
        <v>40</v>
      </c>
      <c r="S101" s="33" t="s">
        <v>40</v>
      </c>
      <c r="T101" s="39" t="s">
        <v>40</v>
      </c>
      <c r="U101" s="191" t="s">
        <v>40</v>
      </c>
      <c r="V101" s="194" t="s">
        <v>40</v>
      </c>
      <c r="W101" s="197">
        <v>2</v>
      </c>
      <c r="X101" s="194">
        <v>4</v>
      </c>
      <c r="Y101" s="107" t="str">
        <f t="shared" ref="Y101:Y107" si="10">L101</f>
        <v>Отсутствие заключенного договора. Ведется проработка рынка.</v>
      </c>
      <c r="Z101" s="32" t="s">
        <v>41</v>
      </c>
      <c r="AA101" s="91"/>
      <c r="AB101" s="30">
        <f>'[2]ИП 21_на 01.07.'!$BI$186/1.12</f>
        <v>3.9844580803571423</v>
      </c>
      <c r="AC101" s="30">
        <f t="shared" ref="AC101:AC107" si="11">AB101*1000</f>
        <v>3984.4580803571425</v>
      </c>
      <c r="AD101" s="29" t="b">
        <f t="shared" ref="AD101:AD107" si="12">AC101=I101</f>
        <v>0</v>
      </c>
      <c r="AE101" s="29"/>
      <c r="AF101" s="29"/>
      <c r="AG101" s="29"/>
    </row>
    <row r="102" spans="1:33" s="25" customFormat="1" ht="94.5" x14ac:dyDescent="0.25">
      <c r="A102" s="58">
        <v>2</v>
      </c>
      <c r="B102" s="200"/>
      <c r="C102" s="59" t="s">
        <v>93</v>
      </c>
      <c r="D102" s="59" t="s">
        <v>34</v>
      </c>
      <c r="E102" s="59">
        <v>1</v>
      </c>
      <c r="F102" s="36">
        <v>0</v>
      </c>
      <c r="G102" s="39">
        <v>2023</v>
      </c>
      <c r="H102" s="32"/>
      <c r="I102" s="35">
        <f>49440/1.12</f>
        <v>44142.857142857138</v>
      </c>
      <c r="J102" s="36">
        <v>0</v>
      </c>
      <c r="K102" s="36">
        <f t="shared" si="9"/>
        <v>44142.857142857138</v>
      </c>
      <c r="L102" s="34" t="s">
        <v>83</v>
      </c>
      <c r="M102" s="37">
        <f>I102</f>
        <v>44142.857142857138</v>
      </c>
      <c r="N102" s="36">
        <v>0</v>
      </c>
      <c r="O102" s="36">
        <v>0</v>
      </c>
      <c r="P102" s="38">
        <v>0</v>
      </c>
      <c r="Q102" s="33" t="s">
        <v>40</v>
      </c>
      <c r="R102" s="39" t="s">
        <v>40</v>
      </c>
      <c r="S102" s="33" t="s">
        <v>40</v>
      </c>
      <c r="T102" s="39" t="s">
        <v>40</v>
      </c>
      <c r="U102" s="192"/>
      <c r="V102" s="195"/>
      <c r="W102" s="198"/>
      <c r="X102" s="195"/>
      <c r="Y102" s="107" t="str">
        <f t="shared" si="10"/>
        <v>Отсутствие заключенного договора. Ведется проработка рынка.</v>
      </c>
      <c r="Z102" s="32" t="s">
        <v>41</v>
      </c>
      <c r="AA102" s="91"/>
      <c r="AB102" s="30">
        <v>16.395561611036999</v>
      </c>
      <c r="AC102" s="30">
        <f t="shared" si="11"/>
        <v>16395.561611036999</v>
      </c>
      <c r="AD102" s="29" t="b">
        <f t="shared" si="12"/>
        <v>0</v>
      </c>
      <c r="AE102" s="29"/>
      <c r="AF102" s="29"/>
      <c r="AG102" s="29"/>
    </row>
    <row r="103" spans="1:33" s="25" customFormat="1" ht="99" customHeight="1" x14ac:dyDescent="0.25">
      <c r="A103" s="58">
        <v>3</v>
      </c>
      <c r="B103" s="200"/>
      <c r="C103" s="59" t="s">
        <v>94</v>
      </c>
      <c r="D103" s="59" t="s">
        <v>34</v>
      </c>
      <c r="E103" s="59">
        <v>1</v>
      </c>
      <c r="F103" s="36">
        <v>0</v>
      </c>
      <c r="G103" s="39">
        <v>2023</v>
      </c>
      <c r="H103" s="32"/>
      <c r="I103" s="35">
        <f>82350/1.12</f>
        <v>73526.78571428571</v>
      </c>
      <c r="J103" s="36">
        <v>0</v>
      </c>
      <c r="K103" s="36">
        <f t="shared" si="9"/>
        <v>73526.78571428571</v>
      </c>
      <c r="L103" s="34" t="s">
        <v>83</v>
      </c>
      <c r="M103" s="37">
        <f>I103</f>
        <v>73526.78571428571</v>
      </c>
      <c r="N103" s="36">
        <v>0</v>
      </c>
      <c r="O103" s="36">
        <v>0</v>
      </c>
      <c r="P103" s="38">
        <v>0</v>
      </c>
      <c r="Q103" s="33" t="s">
        <v>40</v>
      </c>
      <c r="R103" s="39" t="s">
        <v>40</v>
      </c>
      <c r="S103" s="33" t="s">
        <v>40</v>
      </c>
      <c r="T103" s="39" t="s">
        <v>40</v>
      </c>
      <c r="U103" s="192"/>
      <c r="V103" s="195"/>
      <c r="W103" s="198"/>
      <c r="X103" s="195"/>
      <c r="Y103" s="107" t="str">
        <f t="shared" si="10"/>
        <v>Отсутствие заключенного договора. Ведется проработка рынка.</v>
      </c>
      <c r="Z103" s="32" t="s">
        <v>41</v>
      </c>
      <c r="AA103" s="91"/>
      <c r="AB103" s="30">
        <f>'[2]ИП 21_на 01.07.'!$BI$187/1.12</f>
        <v>2.8</v>
      </c>
      <c r="AC103" s="30">
        <f t="shared" si="11"/>
        <v>2800</v>
      </c>
      <c r="AD103" s="29" t="b">
        <f t="shared" si="12"/>
        <v>0</v>
      </c>
      <c r="AE103" s="29"/>
      <c r="AF103" s="29"/>
      <c r="AG103" s="29"/>
    </row>
    <row r="104" spans="1:33" s="25" customFormat="1" ht="92.25" customHeight="1" x14ac:dyDescent="0.25">
      <c r="A104" s="58">
        <v>4</v>
      </c>
      <c r="B104" s="200"/>
      <c r="C104" s="59" t="s">
        <v>95</v>
      </c>
      <c r="D104" s="59" t="s">
        <v>33</v>
      </c>
      <c r="E104" s="59">
        <v>1</v>
      </c>
      <c r="F104" s="59">
        <v>1</v>
      </c>
      <c r="G104" s="39">
        <v>2023</v>
      </c>
      <c r="H104" s="32"/>
      <c r="I104" s="35">
        <f>150506.95402/1.12</f>
        <v>134381.20894642855</v>
      </c>
      <c r="J104" s="36">
        <v>0</v>
      </c>
      <c r="K104" s="36">
        <f t="shared" si="9"/>
        <v>134381.20894642855</v>
      </c>
      <c r="L104" s="34" t="s">
        <v>83</v>
      </c>
      <c r="M104" s="37">
        <v>0</v>
      </c>
      <c r="N104" s="36">
        <f>I104</f>
        <v>134381.20894642855</v>
      </c>
      <c r="O104" s="36">
        <v>0</v>
      </c>
      <c r="P104" s="38">
        <v>0</v>
      </c>
      <c r="Q104" s="33" t="s">
        <v>40</v>
      </c>
      <c r="R104" s="39" t="s">
        <v>40</v>
      </c>
      <c r="S104" s="33" t="s">
        <v>40</v>
      </c>
      <c r="T104" s="39" t="s">
        <v>40</v>
      </c>
      <c r="U104" s="192"/>
      <c r="V104" s="195"/>
      <c r="W104" s="198"/>
      <c r="X104" s="195"/>
      <c r="Y104" s="107" t="str">
        <f t="shared" si="10"/>
        <v>Отсутствие заключенного договора. Ведется проработка рынка.</v>
      </c>
      <c r="Z104" s="32" t="s">
        <v>41</v>
      </c>
      <c r="AA104" s="91"/>
      <c r="AB104" s="30">
        <f>'[2]ИП 21_на 01.07.'!$BI$188/1.12</f>
        <v>30.410000000000007</v>
      </c>
      <c r="AC104" s="30">
        <f t="shared" si="11"/>
        <v>30410.000000000007</v>
      </c>
      <c r="AD104" s="29" t="b">
        <f t="shared" si="12"/>
        <v>0</v>
      </c>
      <c r="AE104" s="29"/>
      <c r="AF104" s="29"/>
      <c r="AG104" s="29"/>
    </row>
    <row r="105" spans="1:33" s="25" customFormat="1" ht="102.75" customHeight="1" x14ac:dyDescent="0.25">
      <c r="A105" s="58">
        <v>5</v>
      </c>
      <c r="B105" s="200"/>
      <c r="C105" s="59" t="s">
        <v>96</v>
      </c>
      <c r="D105" s="59" t="s">
        <v>34</v>
      </c>
      <c r="E105" s="59">
        <v>3</v>
      </c>
      <c r="F105" s="36">
        <v>0</v>
      </c>
      <c r="G105" s="39">
        <v>2023</v>
      </c>
      <c r="H105" s="32"/>
      <c r="I105" s="35">
        <f>1669.52/1.12</f>
        <v>1490.6428571428569</v>
      </c>
      <c r="J105" s="35">
        <v>1395.1</v>
      </c>
      <c r="K105" s="36">
        <f t="shared" si="9"/>
        <v>95.542857142856974</v>
      </c>
      <c r="L105" s="34" t="s">
        <v>100</v>
      </c>
      <c r="M105" s="37">
        <v>0</v>
      </c>
      <c r="N105" s="36">
        <f>I105</f>
        <v>1490.6428571428569</v>
      </c>
      <c r="O105" s="36">
        <v>0</v>
      </c>
      <c r="P105" s="38">
        <v>0</v>
      </c>
      <c r="Q105" s="33" t="s">
        <v>40</v>
      </c>
      <c r="R105" s="39" t="s">
        <v>40</v>
      </c>
      <c r="S105" s="33" t="s">
        <v>40</v>
      </c>
      <c r="T105" s="39" t="s">
        <v>40</v>
      </c>
      <c r="U105" s="192"/>
      <c r="V105" s="195"/>
      <c r="W105" s="198"/>
      <c r="X105" s="195"/>
      <c r="Y105" s="107" t="str">
        <f t="shared" si="10"/>
        <v>Основная часть ТМЦ поставлена. На часть ТМЦ ведется проработка рынка.</v>
      </c>
      <c r="Z105" s="32" t="s">
        <v>41</v>
      </c>
      <c r="AA105" s="91"/>
      <c r="AB105" s="30">
        <f>'[2]ИП 21_на 01.07.'!$BI$189/1.12</f>
        <v>16.899999999999999</v>
      </c>
      <c r="AC105" s="30">
        <f t="shared" si="11"/>
        <v>16900</v>
      </c>
      <c r="AD105" s="29" t="b">
        <f t="shared" si="12"/>
        <v>0</v>
      </c>
      <c r="AE105" s="29"/>
      <c r="AF105" s="29"/>
      <c r="AG105" s="29"/>
    </row>
    <row r="106" spans="1:33" s="25" customFormat="1" ht="112.5" customHeight="1" x14ac:dyDescent="0.25">
      <c r="A106" s="58">
        <v>6</v>
      </c>
      <c r="B106" s="200"/>
      <c r="C106" s="59" t="s">
        <v>97</v>
      </c>
      <c r="D106" s="59" t="s">
        <v>99</v>
      </c>
      <c r="E106" s="59" t="s">
        <v>38</v>
      </c>
      <c r="F106" s="36">
        <v>0</v>
      </c>
      <c r="G106" s="39">
        <v>2023</v>
      </c>
      <c r="H106" s="32"/>
      <c r="I106" s="35">
        <f>11264/1.12</f>
        <v>10057.142857142857</v>
      </c>
      <c r="J106" s="36">
        <v>0</v>
      </c>
      <c r="K106" s="36">
        <f t="shared" si="9"/>
        <v>10057.142857142857</v>
      </c>
      <c r="L106" s="34" t="s">
        <v>83</v>
      </c>
      <c r="M106" s="37">
        <f>I106</f>
        <v>10057.142857142857</v>
      </c>
      <c r="N106" s="36">
        <v>0</v>
      </c>
      <c r="O106" s="36">
        <v>0</v>
      </c>
      <c r="P106" s="38">
        <v>0</v>
      </c>
      <c r="Q106" s="33" t="s">
        <v>40</v>
      </c>
      <c r="R106" s="39" t="s">
        <v>40</v>
      </c>
      <c r="S106" s="33" t="s">
        <v>40</v>
      </c>
      <c r="T106" s="39" t="s">
        <v>40</v>
      </c>
      <c r="U106" s="192"/>
      <c r="V106" s="195"/>
      <c r="W106" s="198"/>
      <c r="X106" s="195"/>
      <c r="Y106" s="107" t="str">
        <f t="shared" si="10"/>
        <v>Отсутствие заключенного договора. Ведется проработка рынка.</v>
      </c>
      <c r="Z106" s="32" t="s">
        <v>41</v>
      </c>
      <c r="AA106" s="91"/>
      <c r="AB106" s="30">
        <f>'[2]ИП 21_на 01.07.'!$BI$190/1.12</f>
        <v>10.300999999999998</v>
      </c>
      <c r="AC106" s="30">
        <f t="shared" si="11"/>
        <v>10300.999999999998</v>
      </c>
      <c r="AD106" s="29" t="b">
        <f t="shared" si="12"/>
        <v>0</v>
      </c>
      <c r="AE106" s="29"/>
      <c r="AF106" s="29"/>
      <c r="AG106" s="29"/>
    </row>
    <row r="107" spans="1:33" s="25" customFormat="1" ht="105.75" customHeight="1" thickBot="1" x14ac:dyDescent="0.3">
      <c r="A107" s="63">
        <v>7</v>
      </c>
      <c r="B107" s="201"/>
      <c r="C107" s="64" t="s">
        <v>98</v>
      </c>
      <c r="D107" s="64" t="s">
        <v>34</v>
      </c>
      <c r="E107" s="64">
        <v>1</v>
      </c>
      <c r="F107" s="47">
        <v>0</v>
      </c>
      <c r="G107" s="51">
        <v>2023</v>
      </c>
      <c r="H107" s="42"/>
      <c r="I107" s="46">
        <f>5414.9/1.12</f>
        <v>4834.7321428571422</v>
      </c>
      <c r="J107" s="47">
        <v>0</v>
      </c>
      <c r="K107" s="65">
        <f t="shared" si="9"/>
        <v>4834.7321428571422</v>
      </c>
      <c r="L107" s="45" t="s">
        <v>83</v>
      </c>
      <c r="M107" s="49">
        <f>I107-N107</f>
        <v>3035.1066607142593</v>
      </c>
      <c r="N107" s="47">
        <v>1799.6254821428829</v>
      </c>
      <c r="O107" s="47">
        <v>0</v>
      </c>
      <c r="P107" s="50">
        <v>0</v>
      </c>
      <c r="Q107" s="44" t="s">
        <v>40</v>
      </c>
      <c r="R107" s="51" t="s">
        <v>40</v>
      </c>
      <c r="S107" s="44" t="s">
        <v>40</v>
      </c>
      <c r="T107" s="51" t="s">
        <v>40</v>
      </c>
      <c r="U107" s="193"/>
      <c r="V107" s="196"/>
      <c r="W107" s="199"/>
      <c r="X107" s="196"/>
      <c r="Y107" s="110" t="str">
        <f t="shared" si="10"/>
        <v>Отсутствие заключенного договора. Ведется проработка рынка.</v>
      </c>
      <c r="Z107" s="42" t="s">
        <v>41</v>
      </c>
      <c r="AA107" s="91"/>
      <c r="AB107" s="30">
        <f>'[2]ИП 21_на 01.07.'!$BI$191/1.12</f>
        <v>53.856988379277851</v>
      </c>
      <c r="AC107" s="30">
        <f t="shared" si="11"/>
        <v>53856.988379277849</v>
      </c>
      <c r="AD107" s="29" t="b">
        <f t="shared" si="12"/>
        <v>0</v>
      </c>
      <c r="AE107" s="29"/>
      <c r="AF107" s="29"/>
      <c r="AG107" s="29"/>
    </row>
    <row r="108" spans="1:33" s="25" customFormat="1" x14ac:dyDescent="0.25">
      <c r="AA108" s="90"/>
      <c r="AB108" s="26"/>
      <c r="AC108" s="26"/>
    </row>
    <row r="109" spans="1:33" s="25" customFormat="1" x14ac:dyDescent="0.25">
      <c r="AA109" s="90"/>
      <c r="AB109" s="26"/>
      <c r="AC109" s="26"/>
    </row>
    <row r="110" spans="1:33" s="25" customFormat="1" x14ac:dyDescent="0.25">
      <c r="AA110" s="40"/>
      <c r="AB110" s="41"/>
      <c r="AC110" s="26"/>
    </row>
    <row r="111" spans="1:33" s="25" customFormat="1" x14ac:dyDescent="0.25">
      <c r="AA111" s="40"/>
      <c r="AB111" s="41"/>
      <c r="AC111" s="26"/>
    </row>
    <row r="112" spans="1:33" s="25" customFormat="1" x14ac:dyDescent="0.25">
      <c r="AA112" s="40"/>
      <c r="AB112" s="41"/>
      <c r="AC112" s="26"/>
    </row>
    <row r="113" spans="27:29" s="25" customFormat="1" x14ac:dyDescent="0.25">
      <c r="AA113" s="40"/>
      <c r="AB113" s="41"/>
      <c r="AC113" s="26"/>
    </row>
    <row r="114" spans="27:29" s="25" customFormat="1" x14ac:dyDescent="0.25">
      <c r="AA114" s="40"/>
      <c r="AB114" s="41"/>
      <c r="AC114" s="26"/>
    </row>
    <row r="115" spans="27:29" s="25" customFormat="1" x14ac:dyDescent="0.25">
      <c r="AA115" s="40"/>
      <c r="AB115" s="41"/>
      <c r="AC115" s="26"/>
    </row>
    <row r="116" spans="27:29" s="25" customFormat="1" x14ac:dyDescent="0.25">
      <c r="AA116" s="40"/>
      <c r="AB116" s="41"/>
      <c r="AC116" s="26"/>
    </row>
    <row r="117" spans="27:29" s="25" customFormat="1" x14ac:dyDescent="0.25">
      <c r="AA117" s="40"/>
      <c r="AB117" s="41"/>
      <c r="AC117" s="26"/>
    </row>
    <row r="118" spans="27:29" s="25" customFormat="1" x14ac:dyDescent="0.25">
      <c r="AA118" s="40"/>
      <c r="AB118" s="41"/>
      <c r="AC118" s="26"/>
    </row>
    <row r="119" spans="27:29" s="25" customFormat="1" x14ac:dyDescent="0.25">
      <c r="AA119" s="40"/>
      <c r="AB119" s="41"/>
      <c r="AC119" s="26"/>
    </row>
    <row r="120" spans="27:29" s="25" customFormat="1" x14ac:dyDescent="0.25">
      <c r="AA120" s="40"/>
      <c r="AB120" s="41"/>
      <c r="AC120" s="26"/>
    </row>
    <row r="121" spans="27:29" s="25" customFormat="1" x14ac:dyDescent="0.25">
      <c r="AA121" s="40"/>
      <c r="AB121" s="41"/>
      <c r="AC121" s="26"/>
    </row>
    <row r="122" spans="27:29" s="25" customFormat="1" x14ac:dyDescent="0.25">
      <c r="AA122" s="40"/>
      <c r="AB122" s="41"/>
      <c r="AC122" s="26"/>
    </row>
    <row r="123" spans="27:29" s="25" customFormat="1" x14ac:dyDescent="0.25">
      <c r="AA123" s="40"/>
      <c r="AB123" s="41"/>
      <c r="AC123" s="26"/>
    </row>
    <row r="124" spans="27:29" s="25" customFormat="1" x14ac:dyDescent="0.25">
      <c r="AA124" s="40"/>
      <c r="AB124" s="41"/>
      <c r="AC124" s="26"/>
    </row>
    <row r="125" spans="27:29" s="25" customFormat="1" x14ac:dyDescent="0.25">
      <c r="AA125" s="40"/>
      <c r="AB125" s="41"/>
      <c r="AC125" s="26"/>
    </row>
    <row r="126" spans="27:29" s="25" customFormat="1" x14ac:dyDescent="0.25">
      <c r="AA126" s="40"/>
      <c r="AB126" s="41"/>
      <c r="AC126" s="26"/>
    </row>
    <row r="127" spans="27:29" s="25" customFormat="1" x14ac:dyDescent="0.25">
      <c r="AA127" s="40"/>
      <c r="AB127" s="41"/>
      <c r="AC127" s="26"/>
    </row>
    <row r="128" spans="27:29" s="25" customFormat="1" x14ac:dyDescent="0.25">
      <c r="AA128" s="40"/>
      <c r="AB128" s="41"/>
      <c r="AC128" s="26"/>
    </row>
    <row r="129" spans="27:29" s="25" customFormat="1" x14ac:dyDescent="0.25">
      <c r="AA129" s="40"/>
      <c r="AB129" s="41"/>
      <c r="AC129" s="26"/>
    </row>
    <row r="130" spans="27:29" s="25" customFormat="1" x14ac:dyDescent="0.25">
      <c r="AA130" s="40"/>
      <c r="AB130" s="41"/>
      <c r="AC130" s="26"/>
    </row>
    <row r="131" spans="27:29" s="25" customFormat="1" x14ac:dyDescent="0.25">
      <c r="AA131" s="40"/>
      <c r="AB131" s="41"/>
      <c r="AC131" s="26"/>
    </row>
    <row r="132" spans="27:29" s="25" customFormat="1" x14ac:dyDescent="0.25">
      <c r="AA132" s="40"/>
      <c r="AB132" s="41"/>
      <c r="AC132" s="26"/>
    </row>
    <row r="133" spans="27:29" s="25" customFormat="1" x14ac:dyDescent="0.25">
      <c r="AA133" s="40"/>
      <c r="AB133" s="41"/>
      <c r="AC133" s="26"/>
    </row>
    <row r="134" spans="27:29" s="25" customFormat="1" x14ac:dyDescent="0.25">
      <c r="AA134" s="40"/>
      <c r="AB134" s="41"/>
      <c r="AC134" s="26"/>
    </row>
    <row r="135" spans="27:29" s="25" customFormat="1" x14ac:dyDescent="0.25">
      <c r="AA135" s="40"/>
      <c r="AB135" s="41"/>
      <c r="AC135" s="26"/>
    </row>
    <row r="136" spans="27:29" s="25" customFormat="1" x14ac:dyDescent="0.25">
      <c r="AA136" s="40"/>
      <c r="AB136" s="41"/>
      <c r="AC136" s="26"/>
    </row>
    <row r="137" spans="27:29" s="25" customFormat="1" x14ac:dyDescent="0.25">
      <c r="AA137" s="40"/>
      <c r="AB137" s="41"/>
      <c r="AC137" s="26"/>
    </row>
    <row r="138" spans="27:29" s="25" customFormat="1" x14ac:dyDescent="0.25">
      <c r="AA138" s="40"/>
      <c r="AB138" s="41"/>
      <c r="AC138" s="26"/>
    </row>
    <row r="139" spans="27:29" s="25" customFormat="1" x14ac:dyDescent="0.25">
      <c r="AA139" s="40"/>
      <c r="AB139" s="41"/>
      <c r="AC139" s="26"/>
    </row>
    <row r="140" spans="27:29" s="25" customFormat="1" x14ac:dyDescent="0.25">
      <c r="AA140" s="40"/>
      <c r="AB140" s="41"/>
      <c r="AC140" s="26"/>
    </row>
    <row r="141" spans="27:29" s="25" customFormat="1" x14ac:dyDescent="0.25">
      <c r="AA141" s="40"/>
      <c r="AB141" s="41"/>
      <c r="AC141" s="26"/>
    </row>
    <row r="142" spans="27:29" s="25" customFormat="1" x14ac:dyDescent="0.25">
      <c r="AA142" s="40"/>
      <c r="AB142" s="41"/>
      <c r="AC142" s="26"/>
    </row>
    <row r="143" spans="27:29" s="25" customFormat="1" x14ac:dyDescent="0.25">
      <c r="AA143" s="40"/>
      <c r="AB143" s="41"/>
      <c r="AC143" s="26"/>
    </row>
    <row r="144" spans="27:29" s="25" customFormat="1" x14ac:dyDescent="0.25">
      <c r="AA144" s="40"/>
      <c r="AB144" s="41"/>
      <c r="AC144" s="26"/>
    </row>
    <row r="145" spans="27:29" s="25" customFormat="1" x14ac:dyDescent="0.25">
      <c r="AA145" s="40"/>
      <c r="AB145" s="41"/>
      <c r="AC145" s="26"/>
    </row>
    <row r="146" spans="27:29" s="25" customFormat="1" x14ac:dyDescent="0.25">
      <c r="AA146" s="40"/>
      <c r="AB146" s="41"/>
      <c r="AC146" s="26"/>
    </row>
    <row r="147" spans="27:29" s="25" customFormat="1" x14ac:dyDescent="0.25">
      <c r="AA147" s="40"/>
      <c r="AB147" s="41"/>
      <c r="AC147" s="26"/>
    </row>
    <row r="148" spans="27:29" s="25" customFormat="1" x14ac:dyDescent="0.25">
      <c r="AA148" s="40"/>
      <c r="AB148" s="41"/>
      <c r="AC148" s="26"/>
    </row>
    <row r="149" spans="27:29" s="25" customFormat="1" x14ac:dyDescent="0.25">
      <c r="AA149" s="40"/>
      <c r="AB149" s="41"/>
      <c r="AC149" s="26"/>
    </row>
    <row r="150" spans="27:29" s="25" customFormat="1" x14ac:dyDescent="0.25">
      <c r="AA150" s="40"/>
      <c r="AB150" s="41"/>
      <c r="AC150" s="26"/>
    </row>
    <row r="151" spans="27:29" s="25" customFormat="1" x14ac:dyDescent="0.25">
      <c r="AA151" s="40"/>
      <c r="AB151" s="41"/>
      <c r="AC151" s="26"/>
    </row>
    <row r="152" spans="27:29" s="25" customFormat="1" x14ac:dyDescent="0.25">
      <c r="AA152" s="40"/>
      <c r="AB152" s="41"/>
      <c r="AC152" s="26"/>
    </row>
    <row r="153" spans="27:29" s="25" customFormat="1" x14ac:dyDescent="0.25">
      <c r="AA153" s="40"/>
      <c r="AB153" s="41"/>
      <c r="AC153" s="26"/>
    </row>
    <row r="154" spans="27:29" s="25" customFormat="1" x14ac:dyDescent="0.25">
      <c r="AA154" s="40"/>
      <c r="AB154" s="41"/>
      <c r="AC154" s="26"/>
    </row>
    <row r="155" spans="27:29" s="25" customFormat="1" x14ac:dyDescent="0.25">
      <c r="AA155" s="40"/>
      <c r="AB155" s="41"/>
      <c r="AC155" s="26"/>
    </row>
    <row r="156" spans="27:29" s="25" customFormat="1" x14ac:dyDescent="0.25">
      <c r="AA156" s="40"/>
      <c r="AB156" s="41"/>
      <c r="AC156" s="26"/>
    </row>
    <row r="157" spans="27:29" s="25" customFormat="1" x14ac:dyDescent="0.25">
      <c r="AA157" s="40"/>
      <c r="AB157" s="41"/>
      <c r="AC157" s="26"/>
    </row>
    <row r="158" spans="27:29" s="25" customFormat="1" x14ac:dyDescent="0.25">
      <c r="AA158" s="40"/>
      <c r="AB158" s="41"/>
      <c r="AC158" s="26"/>
    </row>
    <row r="159" spans="27:29" s="25" customFormat="1" x14ac:dyDescent="0.25">
      <c r="AA159" s="40"/>
      <c r="AB159" s="41"/>
      <c r="AC159" s="26"/>
    </row>
    <row r="160" spans="27:29" s="25" customFormat="1" x14ac:dyDescent="0.25">
      <c r="AA160" s="40"/>
      <c r="AB160" s="41"/>
      <c r="AC160" s="26"/>
    </row>
    <row r="161" spans="27:29" s="25" customFormat="1" x14ac:dyDescent="0.25">
      <c r="AA161" s="40"/>
      <c r="AB161" s="41"/>
      <c r="AC161" s="26"/>
    </row>
    <row r="162" spans="27:29" s="25" customFormat="1" x14ac:dyDescent="0.25">
      <c r="AA162" s="40"/>
      <c r="AB162" s="41"/>
      <c r="AC162" s="26"/>
    </row>
    <row r="163" spans="27:29" s="25" customFormat="1" x14ac:dyDescent="0.25">
      <c r="AA163" s="40"/>
      <c r="AB163" s="41"/>
      <c r="AC163" s="26"/>
    </row>
    <row r="164" spans="27:29" s="25" customFormat="1" x14ac:dyDescent="0.25">
      <c r="AA164" s="40"/>
      <c r="AB164" s="41"/>
      <c r="AC164" s="26"/>
    </row>
    <row r="165" spans="27:29" s="25" customFormat="1" x14ac:dyDescent="0.25">
      <c r="AA165" s="40"/>
      <c r="AB165" s="41"/>
      <c r="AC165" s="26"/>
    </row>
    <row r="166" spans="27:29" s="25" customFormat="1" x14ac:dyDescent="0.25">
      <c r="AA166" s="40"/>
      <c r="AB166" s="41"/>
      <c r="AC166" s="26"/>
    </row>
    <row r="167" spans="27:29" s="25" customFormat="1" x14ac:dyDescent="0.25">
      <c r="AA167" s="40"/>
      <c r="AB167" s="41"/>
      <c r="AC167" s="26"/>
    </row>
    <row r="168" spans="27:29" s="25" customFormat="1" x14ac:dyDescent="0.25">
      <c r="AA168" s="40"/>
      <c r="AB168" s="41"/>
      <c r="AC168" s="26"/>
    </row>
    <row r="169" spans="27:29" s="25" customFormat="1" x14ac:dyDescent="0.25">
      <c r="AA169" s="40"/>
      <c r="AB169" s="41"/>
      <c r="AC169" s="26"/>
    </row>
    <row r="170" spans="27:29" s="25" customFormat="1" x14ac:dyDescent="0.25">
      <c r="AA170" s="40"/>
      <c r="AB170" s="41"/>
      <c r="AC170" s="26"/>
    </row>
    <row r="171" spans="27:29" s="25" customFormat="1" x14ac:dyDescent="0.25">
      <c r="AA171" s="40"/>
      <c r="AB171" s="41"/>
      <c r="AC171" s="26"/>
    </row>
    <row r="172" spans="27:29" s="25" customFormat="1" x14ac:dyDescent="0.25">
      <c r="AA172" s="40"/>
      <c r="AB172" s="41"/>
      <c r="AC172" s="26"/>
    </row>
    <row r="173" spans="27:29" s="25" customFormat="1" x14ac:dyDescent="0.25">
      <c r="AA173" s="40"/>
      <c r="AB173" s="41"/>
      <c r="AC173" s="26"/>
    </row>
    <row r="174" spans="27:29" s="25" customFormat="1" x14ac:dyDescent="0.25">
      <c r="AA174" s="40"/>
      <c r="AB174" s="41"/>
      <c r="AC174" s="26"/>
    </row>
    <row r="175" spans="27:29" s="25" customFormat="1" x14ac:dyDescent="0.25">
      <c r="AA175" s="40"/>
      <c r="AB175" s="41"/>
      <c r="AC175" s="26"/>
    </row>
    <row r="176" spans="27:29" s="25" customFormat="1" x14ac:dyDescent="0.25">
      <c r="AA176" s="40"/>
      <c r="AB176" s="41"/>
      <c r="AC176" s="26"/>
    </row>
    <row r="177" spans="27:29" s="25" customFormat="1" x14ac:dyDescent="0.25">
      <c r="AA177" s="40"/>
      <c r="AB177" s="41"/>
      <c r="AC177" s="26"/>
    </row>
  </sheetData>
  <mergeCells count="211">
    <mergeCell ref="E45:E46"/>
    <mergeCell ref="A8:Z8"/>
    <mergeCell ref="Y12:Y15"/>
    <mergeCell ref="Z12:Z15"/>
    <mergeCell ref="B13:B15"/>
    <mergeCell ref="C13:C15"/>
    <mergeCell ref="D13:D15"/>
    <mergeCell ref="E13:F13"/>
    <mergeCell ref="G13:G15"/>
    <mergeCell ref="I13:I15"/>
    <mergeCell ref="J13:J15"/>
    <mergeCell ref="K13:K15"/>
    <mergeCell ref="U13:V14"/>
    <mergeCell ref="W13:X14"/>
    <mergeCell ref="E14:E15"/>
    <mergeCell ref="F14:F15"/>
    <mergeCell ref="L13:L15"/>
    <mergeCell ref="M13:N14"/>
    <mergeCell ref="A9:Z9"/>
    <mergeCell ref="A10:Z10"/>
    <mergeCell ref="A12:A15"/>
    <mergeCell ref="B12:G12"/>
    <mergeCell ref="H12:H15"/>
    <mergeCell ref="I12:L12"/>
    <mergeCell ref="M12:P12"/>
    <mergeCell ref="Q12:X12"/>
    <mergeCell ref="O13:O15"/>
    <mergeCell ref="P13:P15"/>
    <mergeCell ref="Q13:R14"/>
    <mergeCell ref="S13:T14"/>
    <mergeCell ref="B18:B37"/>
    <mergeCell ref="U18:U37"/>
    <mergeCell ref="V18:V37"/>
    <mergeCell ref="W18:W37"/>
    <mergeCell ref="X18:X37"/>
    <mergeCell ref="A39:Z39"/>
    <mergeCell ref="B48:B51"/>
    <mergeCell ref="A40:Z40"/>
    <mergeCell ref="A41:Z41"/>
    <mergeCell ref="A43:A46"/>
    <mergeCell ref="B43:G43"/>
    <mergeCell ref="Q43:X43"/>
    <mergeCell ref="Y43:Y46"/>
    <mergeCell ref="Z43:Z46"/>
    <mergeCell ref="W44:X45"/>
    <mergeCell ref="P44:P46"/>
    <mergeCell ref="Q44:R45"/>
    <mergeCell ref="S44:T45"/>
    <mergeCell ref="U44:V45"/>
    <mergeCell ref="H43:H46"/>
    <mergeCell ref="F45:F46"/>
    <mergeCell ref="M44:N45"/>
    <mergeCell ref="O44:O46"/>
    <mergeCell ref="I44:I46"/>
    <mergeCell ref="J44:J46"/>
    <mergeCell ref="L44:L46"/>
    <mergeCell ref="I43:L43"/>
    <mergeCell ref="K44:K46"/>
    <mergeCell ref="M43:P43"/>
    <mergeCell ref="B44:B46"/>
    <mergeCell ref="C58:C60"/>
    <mergeCell ref="D58:D60"/>
    <mergeCell ref="E58:F58"/>
    <mergeCell ref="P58:P60"/>
    <mergeCell ref="A53:Z53"/>
    <mergeCell ref="X48:X51"/>
    <mergeCell ref="W48:W51"/>
    <mergeCell ref="V48:V51"/>
    <mergeCell ref="U48:U51"/>
    <mergeCell ref="T48:T51"/>
    <mergeCell ref="S48:S51"/>
    <mergeCell ref="R48:R51"/>
    <mergeCell ref="Q48:Q51"/>
    <mergeCell ref="C44:C46"/>
    <mergeCell ref="D44:D46"/>
    <mergeCell ref="E44:F44"/>
    <mergeCell ref="G44:G46"/>
    <mergeCell ref="B62:B63"/>
    <mergeCell ref="M58:N59"/>
    <mergeCell ref="Y62:Y63"/>
    <mergeCell ref="Z62:Z63"/>
    <mergeCell ref="A62:A63"/>
    <mergeCell ref="A54:Z54"/>
    <mergeCell ref="A55:Z55"/>
    <mergeCell ref="A57:A60"/>
    <mergeCell ref="B57:G57"/>
    <mergeCell ref="H57:H60"/>
    <mergeCell ref="I57:L57"/>
    <mergeCell ref="M57:P57"/>
    <mergeCell ref="Q57:X57"/>
    <mergeCell ref="Y57:Y60"/>
    <mergeCell ref="Z57:Z60"/>
    <mergeCell ref="B58:B60"/>
    <mergeCell ref="U62:U63"/>
    <mergeCell ref="V62:V63"/>
    <mergeCell ref="W62:W63"/>
    <mergeCell ref="X62:X63"/>
    <mergeCell ref="E59:E60"/>
    <mergeCell ref="F59:F60"/>
    <mergeCell ref="W58:X59"/>
    <mergeCell ref="Q58:R59"/>
    <mergeCell ref="S58:T59"/>
    <mergeCell ref="U58:V59"/>
    <mergeCell ref="G58:G60"/>
    <mergeCell ref="Q62:Q63"/>
    <mergeCell ref="R62:R63"/>
    <mergeCell ref="S62:S63"/>
    <mergeCell ref="T62:T63"/>
    <mergeCell ref="O58:O60"/>
    <mergeCell ref="I58:I60"/>
    <mergeCell ref="J58:J60"/>
    <mergeCell ref="K58:K60"/>
    <mergeCell ref="L58:L60"/>
    <mergeCell ref="X75:X76"/>
    <mergeCell ref="W75:W76"/>
    <mergeCell ref="V75:V76"/>
    <mergeCell ref="U75:U76"/>
    <mergeCell ref="B74:B76"/>
    <mergeCell ref="A66:Z66"/>
    <mergeCell ref="A67:Z67"/>
    <mergeCell ref="A69:A72"/>
    <mergeCell ref="B69:G69"/>
    <mergeCell ref="H69:H72"/>
    <mergeCell ref="I69:L69"/>
    <mergeCell ref="M69:P69"/>
    <mergeCell ref="Q69:X69"/>
    <mergeCell ref="Y69:Y72"/>
    <mergeCell ref="Z69:Z72"/>
    <mergeCell ref="B70:B72"/>
    <mergeCell ref="C70:C72"/>
    <mergeCell ref="D70:D72"/>
    <mergeCell ref="E70:F70"/>
    <mergeCell ref="G70:G72"/>
    <mergeCell ref="E71:E72"/>
    <mergeCell ref="F71:F72"/>
    <mergeCell ref="W70:X71"/>
    <mergeCell ref="P70:P72"/>
    <mergeCell ref="Q70:R71"/>
    <mergeCell ref="S70:T71"/>
    <mergeCell ref="U70:V71"/>
    <mergeCell ref="M70:N71"/>
    <mergeCell ref="O70:O72"/>
    <mergeCell ref="I70:I72"/>
    <mergeCell ref="J70:J72"/>
    <mergeCell ref="K70:K72"/>
    <mergeCell ref="L70:L72"/>
    <mergeCell ref="M84:N85"/>
    <mergeCell ref="O84:O86"/>
    <mergeCell ref="I84:I86"/>
    <mergeCell ref="J84:J86"/>
    <mergeCell ref="K84:K86"/>
    <mergeCell ref="L84:L86"/>
    <mergeCell ref="A79:Z79"/>
    <mergeCell ref="A80:Z80"/>
    <mergeCell ref="A81:Z81"/>
    <mergeCell ref="A83:A86"/>
    <mergeCell ref="B83:G83"/>
    <mergeCell ref="H83:H86"/>
    <mergeCell ref="I83:L83"/>
    <mergeCell ref="M83:P83"/>
    <mergeCell ref="Q83:X83"/>
    <mergeCell ref="Y83:Y86"/>
    <mergeCell ref="Z83:Z86"/>
    <mergeCell ref="B84:B86"/>
    <mergeCell ref="C84:C86"/>
    <mergeCell ref="D84:D86"/>
    <mergeCell ref="E84:F84"/>
    <mergeCell ref="U101:U107"/>
    <mergeCell ref="V101:V107"/>
    <mergeCell ref="W101:W107"/>
    <mergeCell ref="X101:X107"/>
    <mergeCell ref="B101:B107"/>
    <mergeCell ref="A92:Z92"/>
    <mergeCell ref="A93:Z93"/>
    <mergeCell ref="A95:A98"/>
    <mergeCell ref="B95:G95"/>
    <mergeCell ref="H95:H98"/>
    <mergeCell ref="I95:L95"/>
    <mergeCell ref="M95:P95"/>
    <mergeCell ref="Q95:X95"/>
    <mergeCell ref="Y95:Y98"/>
    <mergeCell ref="Z95:Z98"/>
    <mergeCell ref="B96:B98"/>
    <mergeCell ref="C96:C98"/>
    <mergeCell ref="D96:D98"/>
    <mergeCell ref="E96:F96"/>
    <mergeCell ref="G96:G98"/>
    <mergeCell ref="A65:Z65"/>
    <mergeCell ref="A78:Z78"/>
    <mergeCell ref="A91:Z91"/>
    <mergeCell ref="E97:E98"/>
    <mergeCell ref="F97:F98"/>
    <mergeCell ref="W96:X97"/>
    <mergeCell ref="P96:P98"/>
    <mergeCell ref="Q96:R97"/>
    <mergeCell ref="S96:T97"/>
    <mergeCell ref="U96:V97"/>
    <mergeCell ref="M96:N97"/>
    <mergeCell ref="O96:O98"/>
    <mergeCell ref="I96:I98"/>
    <mergeCell ref="J96:J98"/>
    <mergeCell ref="K96:K98"/>
    <mergeCell ref="L96:L98"/>
    <mergeCell ref="E85:E86"/>
    <mergeCell ref="F85:F86"/>
    <mergeCell ref="W84:X85"/>
    <mergeCell ref="P84:P86"/>
    <mergeCell ref="Q84:R85"/>
    <mergeCell ref="S84:T85"/>
    <mergeCell ref="U84:V85"/>
    <mergeCell ref="G84:G86"/>
  </mergeCells>
  <pageMargins left="0.15748031496062992" right="0.15748031496062992" top="0.78740157480314965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Свод!_Toc70416010</vt:lpstr>
      <vt:lpstr>Свод!_Toc70416011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2023-07-17T03:57:42Z</dcterms:modified>
</cp:coreProperties>
</file>