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naRa\Desktop\ОТЧЕТ ЗА ПОЛУГОДИЕ 2022\"/>
    </mc:Choice>
  </mc:AlternateContent>
  <bookViews>
    <workbookView xWindow="150" yWindow="-135" windowWidth="28650" windowHeight="6720"/>
  </bookViews>
  <sheets>
    <sheet name="Электроэнергия" sheetId="1" r:id="rId1"/>
  </sheets>
  <definedNames>
    <definedName name="_Toc70416010" localSheetId="0">Электроэнергия!$Z$1</definedName>
    <definedName name="_Toc70416011" localSheetId="0">Электроэнергия!$AA$6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L42" i="1"/>
  <c r="K42" i="1"/>
  <c r="J42" i="1"/>
  <c r="J33" i="1"/>
  <c r="Z20" i="1" l="1"/>
  <c r="J46" i="1" l="1"/>
  <c r="J45" i="1"/>
  <c r="N45" i="1" s="1"/>
  <c r="J44" i="1"/>
  <c r="N44" i="1" s="1"/>
  <c r="J43" i="1"/>
  <c r="L43" i="1" l="1"/>
  <c r="N43" i="1"/>
  <c r="L46" i="1"/>
  <c r="N46" i="1"/>
  <c r="L44" i="1"/>
  <c r="L45" i="1"/>
  <c r="L49" i="1" l="1"/>
  <c r="G19" i="1"/>
  <c r="F19" i="1"/>
  <c r="J40" i="1"/>
  <c r="J32" i="1"/>
  <c r="N49" i="1" l="1"/>
  <c r="J48" i="1" l="1"/>
  <c r="J47" i="1"/>
  <c r="J41" i="1"/>
  <c r="K40" i="1"/>
  <c r="J39" i="1"/>
  <c r="K39" i="1" s="1"/>
  <c r="J38" i="1"/>
  <c r="J37" i="1"/>
  <c r="J36" i="1"/>
  <c r="K36" i="1" s="1"/>
  <c r="J35" i="1"/>
  <c r="J34" i="1"/>
  <c r="J31" i="1"/>
  <c r="J30" i="1"/>
  <c r="J29" i="1"/>
  <c r="K29" i="1" s="1"/>
  <c r="J28" i="1"/>
  <c r="J27" i="1"/>
  <c r="J26" i="1"/>
  <c r="J25" i="1"/>
  <c r="K25" i="1" s="1"/>
  <c r="J24" i="1"/>
  <c r="J23" i="1"/>
  <c r="J22" i="1"/>
  <c r="J21" i="1"/>
  <c r="J20" i="1"/>
  <c r="J19" i="1" l="1"/>
  <c r="K19" i="1"/>
  <c r="N48" i="1"/>
  <c r="L48" i="1"/>
  <c r="N42" i="1" l="1"/>
  <c r="L37" i="1" l="1"/>
  <c r="L31" i="1"/>
  <c r="L20" i="1"/>
  <c r="N47" i="1" l="1"/>
  <c r="L47" i="1"/>
  <c r="N24" i="1" l="1"/>
  <c r="L24" i="1"/>
  <c r="N26" i="1"/>
  <c r="L26" i="1"/>
  <c r="N37" i="1"/>
  <c r="N23" i="1"/>
  <c r="L23" i="1"/>
  <c r="N31" i="1"/>
  <c r="N25" i="1"/>
  <c r="L25" i="1"/>
  <c r="N36" i="1"/>
  <c r="L36" i="1"/>
  <c r="N21" i="1"/>
  <c r="L21" i="1"/>
  <c r="N30" i="1"/>
  <c r="L30" i="1"/>
  <c r="N41" i="1"/>
  <c r="L41" i="1"/>
  <c r="N35" i="1"/>
  <c r="L35" i="1"/>
  <c r="N29" i="1"/>
  <c r="N40" i="1"/>
  <c r="L40" i="1"/>
  <c r="N34" i="1"/>
  <c r="L34" i="1"/>
  <c r="N28" i="1"/>
  <c r="L28" i="1"/>
  <c r="N39" i="1"/>
  <c r="L39" i="1"/>
  <c r="N33" i="1"/>
  <c r="L33" i="1"/>
  <c r="N27" i="1"/>
  <c r="L27" i="1"/>
  <c r="N38" i="1"/>
  <c r="L38" i="1"/>
  <c r="N32" i="1"/>
  <c r="L32" i="1"/>
  <c r="N22" i="1"/>
  <c r="L22" i="1"/>
  <c r="N20" i="1"/>
  <c r="N19" i="1" l="1"/>
  <c r="L29" i="1"/>
  <c r="L19" i="1" s="1"/>
</calcChain>
</file>

<file path=xl/sharedStrings.xml><?xml version="1.0" encoding="utf-8"?>
<sst xmlns="http://schemas.openxmlformats.org/spreadsheetml/2006/main" count="202" uniqueCount="81">
  <si>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</si>
  <si>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</si>
  <si>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</si>
  <si>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</si>
  <si>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</si>
  <si>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</si>
  <si>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</si>
  <si>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</si>
  <si>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</si>
  <si>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</si>
  <si>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</si>
  <si>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</si>
  <si>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</si>
  <si>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</si>
  <si>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</si>
  <si>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</si>
  <si>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</si>
  <si>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</si>
  <si>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</si>
  <si>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</si>
  <si>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</si>
  <si>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</si>
  <si>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</si>
  <si>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</si>
  <si>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</si>
  <si>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</si>
  <si>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</si>
  <si>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</si>
  <si>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</si>
  <si>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</si>
  <si>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факт прошлого года</t>
  </si>
  <si>
    <t>факт текущего года</t>
  </si>
  <si>
    <t>Всего по услуге</t>
  </si>
  <si>
    <t xml:space="preserve">Передача и распределение электроэнергии </t>
  </si>
  <si>
    <t>ПЭС ТОО "Kazakhmys Distribution (Казахмыс Дистрибьюшн)", услуги по передаче и распределению электрической энергии</t>
  </si>
  <si>
    <t>услуга</t>
  </si>
  <si>
    <t>шт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</si>
  <si>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</si>
  <si>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 xml:space="preserve">Капитальный ремонт двухцепной ВЛ-35 кВ "9Ц" и "10Ц" с расщепленными фазами ЖТЭЦ-ЖМЗ с заменой промежуточной опоры №21 на анкерную опору и строительство кабельной эстакады (3 этап) </t>
  </si>
  <si>
    <t>РЕКЛОУЗЕР TER_REC35_SMART1_SUB7 ИСП. 1</t>
  </si>
  <si>
    <t>ВАКУУМНЫЙ ВЫКЛЮЧАТЕЛЬ  6КВ 3150А 31,5 КА Исп.1</t>
  </si>
  <si>
    <t>ВАКУУМНЫЙ ВЫКЛЮЧАТЕЛЬ 6КВ 1000А 20КА</t>
  </si>
  <si>
    <t>ВАКУУМНЫЙ ВЫКЛЮЧАТЕЛЬ  6КВ 2000А 31,5 КА Исп.1</t>
  </si>
  <si>
    <t>ВЫКЛЮЧАТЕЛЬ ЭЛЕГАЗОВЫЙ КОЛОНКОВЫЙ 110КВ 3150А 40КА</t>
  </si>
  <si>
    <t>УСТРОЙСТВО РАСПРЕДЕЛИТЕЛЬНОЕ 6 КВ НА КАМЕРАХ КСО 1250 А</t>
  </si>
  <si>
    <t>Трансформатор ТМ 630 кВа</t>
  </si>
  <si>
    <t>Трансформатор ТМ 400 кВа</t>
  </si>
  <si>
    <t>ЭКСКАВАТОР ТРАНШЕЙНЫЙ ЦЕПНОЙ-ЭТЦ-201</t>
  </si>
  <si>
    <t>Разработка и внедрение интегрированной системы электронного учета обеспечения средствами индивидуальной защиты (специальной одежды), услуг по уходу за специальной одеждой работников ПЭС (оборудование для организации  )</t>
  </si>
  <si>
    <t xml:space="preserve">Разработка проектно-сметной документации "Строительство пристройки   диспечерской на территории ПЭС" </t>
  </si>
  <si>
    <t xml:space="preserve">Реализация проекта"Монтаж пожарной сигнализации и оповещение о пожаре здания боксов и прилегающей к ней территории" </t>
  </si>
  <si>
    <t>АЛКОТЕСТЕР С ЗАРЯДНЫМ УСТРОЙСТВОМ, ДИАПОЗОН ИЗМЕРЕНИЯ 0-5 ПРОМИЛЛЕ, РАБОЧАЯ ТЕМП-5 ДО +50 С, 1500 ЗАПИСЕЙ</t>
  </si>
  <si>
    <t>УСТАНОВКА ВАКУУМНОЙ ДЕГАЗАЦИИ МАСЕЛ УДВМ-4/1,5</t>
  </si>
  <si>
    <t>СТЕНД ВЫСОКОВОЛЬТНЫЙ СТАЦИОНАРНЫЙ ДЛЯ ИСПЫТАНИЯ СИЗ СВС-100Ц</t>
  </si>
  <si>
    <t>ШКАФ УПРАВЛЕНИЯ ОПЕРАТИВНЫМ ТОКОМ ШУОТ 380 50ГЦ 230В 80А</t>
  </si>
  <si>
    <t>УСТАНОВКА ИЗМЕРЕНИЯ ДИЭЛЕКТРИЧЕСКИХ ПОТЕРЬ ЖИДКИХ ДИЭЛЕКТРИКОВ ТАНГЕНС 3М-3-МОЛНИЯ</t>
  </si>
  <si>
    <t xml:space="preserve"> ФУРГОН НА БАЗЕ КАМАЗ-43118 6Х6</t>
  </si>
  <si>
    <t>ТРАНСФОРМАТОР  ТМ-630 6/0.4</t>
  </si>
  <si>
    <t>ВЫКЛЮЧАТЕЛЬ ВАКУУМНЫЙ 6КВ 1000А 20КА</t>
  </si>
  <si>
    <t>СИСТЕМНЫЙ БЛОК CORE I3 8100/8 ГБ/1ТВ/ INTEL UHD 630/DVD RW/NO WIFI/KB/MOUSE/260W/WINDOWS 10 PRO /3Y BASIC WARRANTY</t>
  </si>
  <si>
    <t>МОНИТОР 23,8 ДЮЙМА 1920X1080 IPS 60ГЦ VGA (D-SUB) HDMI</t>
  </si>
  <si>
    <t>ИБП 360W, 12V/7.5Ah, 2+1 розет., AVR 165-275 V    85X138X304 ММ</t>
  </si>
  <si>
    <t xml:space="preserve">Разработка проектно-сметной документации: Замена  анкерной опоры №20  ЛЭП  двухцепной 
ВЛ-35кВ «9Ц» и «10Ц» с расщеплёнными фазами 
</t>
  </si>
  <si>
    <t>КОНДИЦИОНЕР НАСТЕННЫЙ,  МОЩНОСТЬ ОХЛАЖДЕНИЯ 5,45 КВТ, ПЛОЩАДЬ ПОМЕЩЕНИЯ ДО 50 М2,  ХЛАДОГЕНТ R410A</t>
  </si>
  <si>
    <t>ячейка</t>
  </si>
  <si>
    <t>проект</t>
  </si>
  <si>
    <t xml:space="preserve">об исполнении инвестиционной программы на 2022 год  по итогам  I полугодия 2022 года       </t>
  </si>
  <si>
    <t>25.3</t>
  </si>
  <si>
    <t>25.4</t>
  </si>
  <si>
    <t>25.5</t>
  </si>
  <si>
    <t>25.6</t>
  </si>
  <si>
    <t>01.01-2022-31.12.2022</t>
  </si>
  <si>
    <t>Ведутся процедуры по закупке товаров, работ и услуг</t>
  </si>
  <si>
    <t>Договор заключен. Ведутся работы подрядной организацией.</t>
  </si>
  <si>
    <t>км</t>
  </si>
  <si>
    <t>Приобретение оборудования для улучшение условий труда</t>
  </si>
  <si>
    <t>План, тыс. тенге без НДС</t>
  </si>
  <si>
    <t>Факт, тыс. тенге без НДС</t>
  </si>
  <si>
    <t>отклонение, тыс. тенге без НДС</t>
  </si>
  <si>
    <t>Амортизация, тыс. тенге без НДС</t>
  </si>
  <si>
    <t>Прибыль,  тыс. тенге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</si>
</sst>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00"/>
    <numFmt numFmtId="166" formatCode="0.0"/>
    <numFmt numFmtId="167" formatCode="_-* #,##0.000\ _₽_-;\-* #,##0.0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43" fontId="3" fillId="2" borderId="13" xfId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 wrapText="1"/>
    </xf>
    <xf numFmtId="43" fontId="3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3" fillId="2" borderId="13" xfId="2" applyFont="1" applyFill="1" applyBorder="1" applyAlignment="1">
      <alignment horizontal="left" vertical="center" wrapText="1"/>
    </xf>
    <xf numFmtId="0" fontId="3" fillId="2" borderId="1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3" fontId="8" fillId="2" borderId="0" xfId="1" applyFont="1" applyFill="1"/>
    <xf numFmtId="43" fontId="9" fillId="2" borderId="13" xfId="1" applyFont="1" applyFill="1" applyBorder="1" applyAlignment="1">
      <alignment horizontal="center" vertical="center"/>
    </xf>
    <xf numFmtId="43" fontId="6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top" wrapText="1"/>
    </xf>
    <xf numFmtId="43" fontId="3" fillId="2" borderId="0" xfId="0" applyNumberFormat="1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 10 10 10" xfId="2"/>
    <cellStyle name="Обычный 2 65 2 2" xfId="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4"/>
  <sheetViews>
    <sheetView tabSelected="1" topLeftCell="B1" zoomScale="62" zoomScaleNormal="62" workbookViewId="0">
      <selection activeCell="B9" sqref="B9:AA9"/>
    </sheetView>
  </sheetViews>
  <sheetFormatPr defaultRowHeight="15.75" outlineLevelRow="1" x14ac:dyDescent="0.25"/>
  <cols>
    <col min="1" max="2" width="9.140625" style="3"/>
    <col min="3" max="3" width="19.85546875" style="3" customWidth="1"/>
    <col min="4" max="4" width="44.140625" style="38" customWidth="1"/>
    <col min="5" max="5" width="9.140625" style="3"/>
    <col min="6" max="6" width="8.42578125" style="43" customWidth="1"/>
    <col min="7" max="7" width="8.42578125" style="44" customWidth="1"/>
    <col min="8" max="8" width="13" style="3" customWidth="1"/>
    <col min="9" max="9" width="11.42578125" style="3" customWidth="1"/>
    <col min="10" max="10" width="16.28515625" style="4" customWidth="1"/>
    <col min="11" max="11" width="18.28515625" style="4" customWidth="1"/>
    <col min="12" max="12" width="16.7109375" style="4" customWidth="1"/>
    <col min="13" max="13" width="15.140625" style="3" customWidth="1"/>
    <col min="14" max="14" width="18.140625" style="5" customWidth="1"/>
    <col min="15" max="15" width="17" style="5" customWidth="1"/>
    <col min="16" max="16" width="10.85546875" style="3" customWidth="1"/>
    <col min="17" max="17" width="12.140625" style="3" customWidth="1"/>
    <col min="18" max="19" width="11" style="3" customWidth="1"/>
    <col min="20" max="25" width="9.140625" style="3"/>
    <col min="26" max="26" width="24.140625" style="3" customWidth="1"/>
    <col min="27" max="27" width="34" style="3" customWidth="1"/>
    <col min="28" max="28" width="13.85546875" style="3" customWidth="1"/>
    <col min="29" max="29" width="13" style="3" bestFit="1" customWidth="1"/>
    <col min="30" max="30" width="11.140625" style="3" bestFit="1" customWidth="1"/>
    <col min="31" max="16384" width="9.140625" style="3"/>
  </cols>
  <sheetData>
    <row r="1" spans="2:27" x14ac:dyDescent="0.25">
      <c r="AA1" s="6" t="s">
        <v>0</v>
      </c>
    </row>
    <row r="2" spans="2:27" x14ac:dyDescent="0.25">
      <c r="AA2" s="6" t="s">
        <v>1</v>
      </c>
    </row>
    <row r="3" spans="2:27" x14ac:dyDescent="0.25">
      <c r="AA3" s="7" t="s">
        <v>2</v>
      </c>
    </row>
    <row r="4" spans="2:27" x14ac:dyDescent="0.25">
      <c r="AA4" s="6" t="s">
        <v>3</v>
      </c>
    </row>
    <row r="6" spans="2:27" x14ac:dyDescent="0.25">
      <c r="AA6" s="6" t="s">
        <v>4</v>
      </c>
    </row>
    <row r="7" spans="2:27" ht="24.75" customHeight="1" x14ac:dyDescent="0.25">
      <c r="AA7" s="6"/>
    </row>
    <row r="8" spans="2:27" x14ac:dyDescent="0.25">
      <c r="K8" s="59" t="s">
        <v>5</v>
      </c>
      <c r="L8" s="59"/>
      <c r="M8" s="59"/>
      <c r="N8" s="59"/>
      <c r="O8" s="59"/>
      <c r="P8" s="59"/>
      <c r="AA8" s="6"/>
    </row>
    <row r="9" spans="2:27" x14ac:dyDescent="0.25">
      <c r="B9" s="59" t="s">
        <v>66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2:27" x14ac:dyDescent="0.25">
      <c r="B10" s="64" t="s">
        <v>34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2:27" x14ac:dyDescent="0.2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2:27" x14ac:dyDescent="0.25">
      <c r="J12" s="48"/>
      <c r="AA12" s="6"/>
    </row>
    <row r="13" spans="2:27" ht="16.5" thickBot="1" x14ac:dyDescent="0.3"/>
    <row r="14" spans="2:27" ht="75.75" customHeight="1" thickBot="1" x14ac:dyDescent="0.3">
      <c r="B14" s="60" t="s">
        <v>7</v>
      </c>
      <c r="C14" s="67" t="s">
        <v>8</v>
      </c>
      <c r="D14" s="68"/>
      <c r="E14" s="68"/>
      <c r="F14" s="68"/>
      <c r="G14" s="68"/>
      <c r="H14" s="69"/>
      <c r="I14" s="70" t="s">
        <v>9</v>
      </c>
      <c r="J14" s="68" t="s">
        <v>10</v>
      </c>
      <c r="K14" s="68"/>
      <c r="L14" s="68"/>
      <c r="M14" s="69"/>
      <c r="N14" s="67" t="s">
        <v>11</v>
      </c>
      <c r="O14" s="68"/>
      <c r="P14" s="68"/>
      <c r="Q14" s="69"/>
      <c r="R14" s="67" t="s">
        <v>12</v>
      </c>
      <c r="S14" s="68"/>
      <c r="T14" s="68"/>
      <c r="U14" s="68"/>
      <c r="V14" s="68"/>
      <c r="W14" s="68"/>
      <c r="X14" s="68"/>
      <c r="Y14" s="69"/>
      <c r="Z14" s="70" t="s">
        <v>13</v>
      </c>
      <c r="AA14" s="70" t="s">
        <v>14</v>
      </c>
    </row>
    <row r="15" spans="2:27" ht="99" customHeight="1" thickBot="1" x14ac:dyDescent="0.3">
      <c r="B15" s="66"/>
      <c r="C15" s="70" t="s">
        <v>15</v>
      </c>
      <c r="D15" s="84" t="s">
        <v>16</v>
      </c>
      <c r="E15" s="70" t="s">
        <v>17</v>
      </c>
      <c r="F15" s="67" t="s">
        <v>18</v>
      </c>
      <c r="G15" s="69"/>
      <c r="H15" s="70" t="s">
        <v>19</v>
      </c>
      <c r="I15" s="71"/>
      <c r="J15" s="73" t="s">
        <v>76</v>
      </c>
      <c r="K15" s="76" t="s">
        <v>77</v>
      </c>
      <c r="L15" s="76" t="s">
        <v>78</v>
      </c>
      <c r="M15" s="70" t="s">
        <v>20</v>
      </c>
      <c r="N15" s="60" t="s">
        <v>21</v>
      </c>
      <c r="O15" s="61"/>
      <c r="P15" s="70" t="s">
        <v>22</v>
      </c>
      <c r="Q15" s="70" t="s">
        <v>23</v>
      </c>
      <c r="R15" s="60" t="s">
        <v>24</v>
      </c>
      <c r="S15" s="61"/>
      <c r="T15" s="60" t="s">
        <v>25</v>
      </c>
      <c r="U15" s="61"/>
      <c r="V15" s="60" t="s">
        <v>26</v>
      </c>
      <c r="W15" s="61"/>
      <c r="X15" s="60" t="s">
        <v>27</v>
      </c>
      <c r="Y15" s="61"/>
      <c r="Z15" s="71"/>
      <c r="AA15" s="71"/>
    </row>
    <row r="16" spans="2:27" ht="68.25" customHeight="1" thickBot="1" x14ac:dyDescent="0.3">
      <c r="B16" s="66"/>
      <c r="C16" s="71"/>
      <c r="D16" s="85"/>
      <c r="E16" s="71"/>
      <c r="F16" s="82" t="s">
        <v>28</v>
      </c>
      <c r="G16" s="70" t="s">
        <v>29</v>
      </c>
      <c r="H16" s="71"/>
      <c r="I16" s="71"/>
      <c r="J16" s="74"/>
      <c r="K16" s="77"/>
      <c r="L16" s="77"/>
      <c r="M16" s="71"/>
      <c r="N16" s="62"/>
      <c r="O16" s="63"/>
      <c r="P16" s="71"/>
      <c r="Q16" s="71"/>
      <c r="R16" s="62"/>
      <c r="S16" s="63"/>
      <c r="T16" s="62"/>
      <c r="U16" s="63"/>
      <c r="V16" s="62"/>
      <c r="W16" s="63"/>
      <c r="X16" s="62"/>
      <c r="Y16" s="63"/>
      <c r="Z16" s="71"/>
      <c r="AA16" s="71"/>
    </row>
    <row r="17" spans="2:29" ht="67.5" customHeight="1" thickBot="1" x14ac:dyDescent="0.3">
      <c r="B17" s="62"/>
      <c r="C17" s="72"/>
      <c r="D17" s="86"/>
      <c r="E17" s="72"/>
      <c r="F17" s="83"/>
      <c r="G17" s="72"/>
      <c r="H17" s="72"/>
      <c r="I17" s="72"/>
      <c r="J17" s="75"/>
      <c r="K17" s="78"/>
      <c r="L17" s="78"/>
      <c r="M17" s="72"/>
      <c r="N17" s="8" t="s">
        <v>79</v>
      </c>
      <c r="O17" s="8" t="s">
        <v>80</v>
      </c>
      <c r="P17" s="72"/>
      <c r="Q17" s="72"/>
      <c r="R17" s="8" t="s">
        <v>30</v>
      </c>
      <c r="S17" s="9" t="s">
        <v>31</v>
      </c>
      <c r="T17" s="9" t="s">
        <v>30</v>
      </c>
      <c r="U17" s="9" t="s">
        <v>31</v>
      </c>
      <c r="V17" s="9" t="s">
        <v>28</v>
      </c>
      <c r="W17" s="9" t="s">
        <v>29</v>
      </c>
      <c r="X17" s="9" t="s">
        <v>30</v>
      </c>
      <c r="Y17" s="9" t="s">
        <v>31</v>
      </c>
      <c r="Z17" s="72"/>
      <c r="AA17" s="72"/>
    </row>
    <row r="18" spans="2:29" s="46" customFormat="1" x14ac:dyDescent="0.25">
      <c r="B18" s="10">
        <v>1</v>
      </c>
      <c r="C18" s="11">
        <v>2</v>
      </c>
      <c r="D18" s="12">
        <v>3</v>
      </c>
      <c r="E18" s="12">
        <v>4</v>
      </c>
      <c r="F18" s="13">
        <v>5</v>
      </c>
      <c r="G18" s="12">
        <v>6</v>
      </c>
      <c r="H18" s="12">
        <v>7</v>
      </c>
      <c r="I18" s="14">
        <v>8</v>
      </c>
      <c r="J18" s="14">
        <v>9</v>
      </c>
      <c r="K18" s="15">
        <v>10</v>
      </c>
      <c r="L18" s="15">
        <v>11</v>
      </c>
      <c r="M18" s="12">
        <v>12</v>
      </c>
      <c r="N18" s="14">
        <v>13</v>
      </c>
      <c r="O18" s="12">
        <v>14</v>
      </c>
      <c r="P18" s="12">
        <v>15</v>
      </c>
      <c r="Q18" s="12">
        <v>16</v>
      </c>
      <c r="R18" s="14">
        <v>17</v>
      </c>
      <c r="S18" s="12">
        <v>18</v>
      </c>
      <c r="T18" s="12">
        <v>19</v>
      </c>
      <c r="U18" s="12">
        <v>20</v>
      </c>
      <c r="V18" s="12">
        <v>21</v>
      </c>
      <c r="W18" s="12">
        <v>22</v>
      </c>
      <c r="X18" s="12">
        <v>23</v>
      </c>
      <c r="Y18" s="12">
        <v>24</v>
      </c>
      <c r="Z18" s="14">
        <v>25</v>
      </c>
      <c r="AA18" s="14">
        <v>26</v>
      </c>
    </row>
    <row r="19" spans="2:29" s="20" customFormat="1" ht="15.75" customHeight="1" x14ac:dyDescent="0.25">
      <c r="B19" s="16"/>
      <c r="C19" s="17"/>
      <c r="D19" s="39" t="s">
        <v>32</v>
      </c>
      <c r="E19" s="17"/>
      <c r="F19" s="18">
        <f>SUM(F20:F49)</f>
        <v>68.314999999999998</v>
      </c>
      <c r="G19" s="18">
        <f>SUM(G20:G49)</f>
        <v>47</v>
      </c>
      <c r="H19" s="17"/>
      <c r="I19" s="17"/>
      <c r="J19" s="19">
        <f>J20+J21+J22+J23+J24+J25+J26+J27+J28+J29+J30+J31+J32+J33+J34+J35+J36+J37+J38+J39+J40+J41+J42+J47+J48+J49</f>
        <v>509647.83368220745</v>
      </c>
      <c r="K19" s="19">
        <f>K20+K21+K22+K23+K24+K25+K26+K27+K28+K29+K30+K31+K32+K33+K34+K35+K36+K37+K38+K39+K40+K41+K42+K47+K48+K49</f>
        <v>224743.12417857145</v>
      </c>
      <c r="L19" s="19">
        <f>L20+L21+L22+L23+L24+L25+L26+L27+L28+L29+L30+L31+L32+L33+L34+L35+L36+L37+L38+L39+L40+L41+L42+L47+L48+L49</f>
        <v>284904.709503636</v>
      </c>
      <c r="M19" s="17"/>
      <c r="N19" s="19">
        <f>N20+N21+N22+N23+N24+N25+N26+N27+N28+N29+N30+N31+N32+N33+N34+N35+N36+N37+N38+N39+N40+N41+N42+N47+N48+N49</f>
        <v>509647.83368220745</v>
      </c>
      <c r="O19" s="50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"/>
    </row>
    <row r="20" spans="2:29" s="26" customFormat="1" ht="119.25" customHeight="1" x14ac:dyDescent="0.25">
      <c r="B20" s="21">
        <v>1</v>
      </c>
      <c r="C20" s="79" t="s">
        <v>33</v>
      </c>
      <c r="D20" s="40" t="s">
        <v>38</v>
      </c>
      <c r="E20" s="22" t="s">
        <v>74</v>
      </c>
      <c r="F20" s="52">
        <v>0.315</v>
      </c>
      <c r="G20" s="24">
        <v>0</v>
      </c>
      <c r="H20" s="22" t="s">
        <v>71</v>
      </c>
      <c r="I20" s="22"/>
      <c r="J20" s="28">
        <f>128303130/1.12/1000</f>
        <v>114556.36607142857</v>
      </c>
      <c r="K20" s="24"/>
      <c r="L20" s="24">
        <f>J20-K20</f>
        <v>114556.36607142857</v>
      </c>
      <c r="M20" s="55" t="s">
        <v>73</v>
      </c>
      <c r="N20" s="25">
        <f>J20</f>
        <v>114556.36607142857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53">
        <v>3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54" t="str">
        <f>M20</f>
        <v>Договор заключен. Ведутся работы подрядной организацией.</v>
      </c>
      <c r="AA20" s="22" t="s">
        <v>37</v>
      </c>
    </row>
    <row r="21" spans="2:29" s="26" customFormat="1" ht="92.25" customHeight="1" x14ac:dyDescent="0.25">
      <c r="B21" s="22">
        <v>2</v>
      </c>
      <c r="C21" s="80"/>
      <c r="D21" s="40" t="s">
        <v>39</v>
      </c>
      <c r="E21" s="22" t="s">
        <v>36</v>
      </c>
      <c r="F21" s="23">
        <v>2</v>
      </c>
      <c r="G21" s="22">
        <v>2</v>
      </c>
      <c r="H21" s="22" t="s">
        <v>71</v>
      </c>
      <c r="I21" s="22"/>
      <c r="J21" s="28">
        <f>23999808/1.12/1000</f>
        <v>21428.399999999998</v>
      </c>
      <c r="K21" s="24">
        <v>21428.399999999998</v>
      </c>
      <c r="L21" s="24">
        <f>J21-K21</f>
        <v>0</v>
      </c>
      <c r="M21" s="1"/>
      <c r="N21" s="25">
        <f t="shared" ref="N21:N49" si="0">J21</f>
        <v>21428.399999999998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2"/>
      <c r="AA21" s="22" t="s">
        <v>37</v>
      </c>
    </row>
    <row r="22" spans="2:29" s="26" customFormat="1" ht="79.5" customHeight="1" x14ac:dyDescent="0.25">
      <c r="B22" s="22">
        <v>3</v>
      </c>
      <c r="C22" s="80"/>
      <c r="D22" s="40" t="s">
        <v>40</v>
      </c>
      <c r="E22" s="22" t="s">
        <v>36</v>
      </c>
      <c r="F22" s="23">
        <v>2</v>
      </c>
      <c r="G22" s="22">
        <v>2</v>
      </c>
      <c r="H22" s="22" t="s">
        <v>71</v>
      </c>
      <c r="I22" s="22"/>
      <c r="J22" s="28">
        <f>9779840/1.12/1000</f>
        <v>8732</v>
      </c>
      <c r="K22" s="24">
        <v>8732</v>
      </c>
      <c r="L22" s="24">
        <f t="shared" ref="L22:L31" si="1">J22-K22</f>
        <v>0</v>
      </c>
      <c r="M22" s="1"/>
      <c r="N22" s="25">
        <f t="shared" si="0"/>
        <v>8732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2"/>
      <c r="AA22" s="22" t="s">
        <v>37</v>
      </c>
    </row>
    <row r="23" spans="2:29" s="26" customFormat="1" ht="79.5" customHeight="1" x14ac:dyDescent="0.25">
      <c r="B23" s="22">
        <v>4</v>
      </c>
      <c r="C23" s="80"/>
      <c r="D23" s="40" t="s">
        <v>41</v>
      </c>
      <c r="E23" s="22" t="s">
        <v>36</v>
      </c>
      <c r="F23" s="36">
        <v>4</v>
      </c>
      <c r="G23" s="22">
        <v>4</v>
      </c>
      <c r="H23" s="22" t="s">
        <v>71</v>
      </c>
      <c r="I23" s="22"/>
      <c r="J23" s="28">
        <f>14719936/1.12/1000</f>
        <v>13142.799999999997</v>
      </c>
      <c r="K23" s="24">
        <v>13142.799999999997</v>
      </c>
      <c r="L23" s="24">
        <f t="shared" si="1"/>
        <v>0</v>
      </c>
      <c r="M23" s="1"/>
      <c r="N23" s="25">
        <f t="shared" si="0"/>
        <v>13142.799999999997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2"/>
      <c r="AA23" s="22" t="s">
        <v>37</v>
      </c>
    </row>
    <row r="24" spans="2:29" s="26" customFormat="1" ht="79.5" customHeight="1" x14ac:dyDescent="0.25">
      <c r="B24" s="22">
        <v>5</v>
      </c>
      <c r="C24" s="80"/>
      <c r="D24" s="40" t="s">
        <v>42</v>
      </c>
      <c r="E24" s="22" t="s">
        <v>36</v>
      </c>
      <c r="F24" s="23">
        <v>1</v>
      </c>
      <c r="G24" s="22">
        <v>1</v>
      </c>
      <c r="H24" s="22" t="s">
        <v>71</v>
      </c>
      <c r="I24" s="22"/>
      <c r="J24" s="28">
        <f>3449936/1.12/1000</f>
        <v>3080.2999999999997</v>
      </c>
      <c r="K24" s="24">
        <v>3080.2999999999997</v>
      </c>
      <c r="L24" s="24">
        <f t="shared" si="1"/>
        <v>0</v>
      </c>
      <c r="M24" s="1"/>
      <c r="N24" s="25">
        <f t="shared" si="0"/>
        <v>3080.2999999999997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2"/>
      <c r="AA24" s="22" t="s">
        <v>37</v>
      </c>
    </row>
    <row r="25" spans="2:29" s="26" customFormat="1" ht="79.5" customHeight="1" x14ac:dyDescent="0.25">
      <c r="B25" s="22">
        <v>6</v>
      </c>
      <c r="C25" s="80"/>
      <c r="D25" s="40" t="s">
        <v>43</v>
      </c>
      <c r="E25" s="22" t="s">
        <v>36</v>
      </c>
      <c r="F25" s="23">
        <v>3</v>
      </c>
      <c r="G25" s="22">
        <v>3</v>
      </c>
      <c r="H25" s="22" t="s">
        <v>71</v>
      </c>
      <c r="I25" s="22"/>
      <c r="J25" s="28">
        <f>44716560/1.12/1000</f>
        <v>39925.499999999993</v>
      </c>
      <c r="K25" s="24">
        <f>J25</f>
        <v>39925.499999999993</v>
      </c>
      <c r="L25" s="24">
        <f t="shared" si="1"/>
        <v>0</v>
      </c>
      <c r="M25" s="1"/>
      <c r="N25" s="25">
        <f t="shared" si="0"/>
        <v>39925.499999999993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2"/>
      <c r="AA25" s="22" t="s">
        <v>37</v>
      </c>
    </row>
    <row r="26" spans="2:29" s="26" customFormat="1" ht="79.5" customHeight="1" x14ac:dyDescent="0.25">
      <c r="B26" s="22">
        <v>7</v>
      </c>
      <c r="C26" s="80"/>
      <c r="D26" s="40" t="s">
        <v>39</v>
      </c>
      <c r="E26" s="22" t="s">
        <v>36</v>
      </c>
      <c r="F26" s="23">
        <v>1</v>
      </c>
      <c r="G26" s="22">
        <v>1</v>
      </c>
      <c r="H26" s="22" t="s">
        <v>71</v>
      </c>
      <c r="I26" s="22"/>
      <c r="J26" s="28">
        <f>11999904/1.12/1000</f>
        <v>10714.199999999999</v>
      </c>
      <c r="K26" s="24">
        <v>10714.199999999999</v>
      </c>
      <c r="L26" s="24">
        <f t="shared" si="1"/>
        <v>0</v>
      </c>
      <c r="M26" s="1"/>
      <c r="N26" s="25">
        <f t="shared" si="0"/>
        <v>10714.199999999999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2"/>
      <c r="AA26" s="22" t="s">
        <v>37</v>
      </c>
    </row>
    <row r="27" spans="2:29" s="26" customFormat="1" ht="79.5" customHeight="1" x14ac:dyDescent="0.25">
      <c r="B27" s="22">
        <v>9</v>
      </c>
      <c r="C27" s="80"/>
      <c r="D27" s="40" t="s">
        <v>41</v>
      </c>
      <c r="E27" s="22" t="s">
        <v>36</v>
      </c>
      <c r="F27" s="23">
        <v>7</v>
      </c>
      <c r="G27" s="22">
        <v>7</v>
      </c>
      <c r="H27" s="22" t="s">
        <v>71</v>
      </c>
      <c r="I27" s="22"/>
      <c r="J27" s="28">
        <f>25759888/1.12/1000</f>
        <v>22999.899999999998</v>
      </c>
      <c r="K27" s="24">
        <v>22999.899999999998</v>
      </c>
      <c r="L27" s="24">
        <f t="shared" si="1"/>
        <v>0</v>
      </c>
      <c r="M27" s="1"/>
      <c r="N27" s="25">
        <f t="shared" si="0"/>
        <v>22999.899999999998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2"/>
      <c r="AA27" s="22" t="s">
        <v>37</v>
      </c>
    </row>
    <row r="28" spans="2:29" s="26" customFormat="1" ht="79.5" customHeight="1" x14ac:dyDescent="0.25">
      <c r="B28" s="22">
        <v>10</v>
      </c>
      <c r="C28" s="80"/>
      <c r="D28" s="40" t="s">
        <v>39</v>
      </c>
      <c r="E28" s="22" t="s">
        <v>36</v>
      </c>
      <c r="F28" s="23">
        <v>2</v>
      </c>
      <c r="G28" s="22">
        <v>2</v>
      </c>
      <c r="H28" s="22" t="s">
        <v>71</v>
      </c>
      <c r="I28" s="22"/>
      <c r="J28" s="28">
        <f>23999808/1.12/1000</f>
        <v>21428.399999999998</v>
      </c>
      <c r="K28" s="24">
        <v>21428.399999999998</v>
      </c>
      <c r="L28" s="24">
        <f t="shared" si="1"/>
        <v>0</v>
      </c>
      <c r="M28" s="1"/>
      <c r="N28" s="25">
        <f t="shared" si="0"/>
        <v>21428.399999999998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2"/>
      <c r="AA28" s="22" t="s">
        <v>37</v>
      </c>
    </row>
    <row r="29" spans="2:29" s="26" customFormat="1" ht="79.5" customHeight="1" x14ac:dyDescent="0.25">
      <c r="B29" s="22">
        <v>11</v>
      </c>
      <c r="C29" s="80"/>
      <c r="D29" s="40" t="s">
        <v>44</v>
      </c>
      <c r="E29" s="22" t="s">
        <v>64</v>
      </c>
      <c r="F29" s="23">
        <v>12</v>
      </c>
      <c r="G29" s="45">
        <v>12</v>
      </c>
      <c r="H29" s="22" t="s">
        <v>71</v>
      </c>
      <c r="I29" s="22"/>
      <c r="J29" s="28">
        <f>63999999.84/1.12/1000</f>
        <v>57142.857000000004</v>
      </c>
      <c r="K29" s="24">
        <f>J29</f>
        <v>57142.857000000004</v>
      </c>
      <c r="L29" s="24">
        <f>J29-K29</f>
        <v>0</v>
      </c>
      <c r="M29" s="1"/>
      <c r="N29" s="25">
        <f t="shared" si="0"/>
        <v>57142.857000000004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2"/>
      <c r="AA29" s="22" t="s">
        <v>37</v>
      </c>
    </row>
    <row r="30" spans="2:29" s="26" customFormat="1" ht="79.5" customHeight="1" x14ac:dyDescent="0.25">
      <c r="B30" s="22">
        <v>12</v>
      </c>
      <c r="C30" s="80"/>
      <c r="D30" s="40" t="s">
        <v>45</v>
      </c>
      <c r="E30" s="22" t="s">
        <v>36</v>
      </c>
      <c r="F30" s="23">
        <v>3</v>
      </c>
      <c r="G30" s="22">
        <v>3</v>
      </c>
      <c r="H30" s="22" t="s">
        <v>71</v>
      </c>
      <c r="I30" s="22"/>
      <c r="J30" s="28">
        <f>10302880.2/1.12/1000</f>
        <v>9199.0001785714267</v>
      </c>
      <c r="K30" s="24">
        <v>9199.0001785714267</v>
      </c>
      <c r="L30" s="24">
        <f t="shared" si="1"/>
        <v>0</v>
      </c>
      <c r="M30" s="1"/>
      <c r="N30" s="25">
        <f t="shared" si="0"/>
        <v>9199.0001785714267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2"/>
      <c r="AA30" s="22" t="s">
        <v>37</v>
      </c>
    </row>
    <row r="31" spans="2:29" s="26" customFormat="1" ht="62.25" customHeight="1" x14ac:dyDescent="0.25">
      <c r="B31" s="22">
        <v>13</v>
      </c>
      <c r="C31" s="80"/>
      <c r="D31" s="40" t="s">
        <v>46</v>
      </c>
      <c r="E31" s="22" t="s">
        <v>35</v>
      </c>
      <c r="F31" s="23">
        <v>4</v>
      </c>
      <c r="G31" s="24">
        <v>4</v>
      </c>
      <c r="H31" s="22" t="s">
        <v>71</v>
      </c>
      <c r="I31" s="22"/>
      <c r="J31" s="28">
        <f>9313920/1.12/1000</f>
        <v>8315.9999999999982</v>
      </c>
      <c r="K31" s="24">
        <v>8315.9999999999982</v>
      </c>
      <c r="L31" s="24">
        <f t="shared" si="1"/>
        <v>0</v>
      </c>
      <c r="M31" s="1"/>
      <c r="N31" s="25">
        <f t="shared" si="0"/>
        <v>8315.9999999999982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2"/>
      <c r="AA31" s="22" t="s">
        <v>37</v>
      </c>
    </row>
    <row r="32" spans="2:29" s="26" customFormat="1" ht="94.5" customHeight="1" x14ac:dyDescent="0.25">
      <c r="B32" s="22">
        <v>15</v>
      </c>
      <c r="C32" s="80"/>
      <c r="D32" s="40" t="s">
        <v>47</v>
      </c>
      <c r="E32" s="22" t="s">
        <v>36</v>
      </c>
      <c r="F32" s="23">
        <v>1</v>
      </c>
      <c r="G32" s="22">
        <v>1</v>
      </c>
      <c r="H32" s="22" t="s">
        <v>71</v>
      </c>
      <c r="I32" s="22"/>
      <c r="J32" s="28">
        <f>22344000/1.12/1000</f>
        <v>19949.999999999996</v>
      </c>
      <c r="K32" s="24"/>
      <c r="L32" s="24">
        <f t="shared" ref="L32:L37" si="2">J32-K32</f>
        <v>19949.999999999996</v>
      </c>
      <c r="M32" s="22" t="s">
        <v>72</v>
      </c>
      <c r="N32" s="25">
        <f t="shared" si="0"/>
        <v>19949.999999999996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2" t="s">
        <v>72</v>
      </c>
      <c r="AA32" s="22" t="s">
        <v>37</v>
      </c>
      <c r="AC32" s="57"/>
    </row>
    <row r="33" spans="2:30" s="26" customFormat="1" ht="108" customHeight="1" x14ac:dyDescent="0.25">
      <c r="B33" s="22">
        <v>16</v>
      </c>
      <c r="C33" s="80"/>
      <c r="D33" s="40" t="s">
        <v>48</v>
      </c>
      <c r="E33" s="22" t="s">
        <v>36</v>
      </c>
      <c r="F33" s="23">
        <v>1</v>
      </c>
      <c r="G33" s="22">
        <v>0</v>
      </c>
      <c r="H33" s="22" t="s">
        <v>71</v>
      </c>
      <c r="I33" s="22"/>
      <c r="J33" s="28">
        <f>(5101100.84821429/1.12/1000)+546.547</f>
        <v>5101.1013287627593</v>
      </c>
      <c r="K33" s="24"/>
      <c r="L33" s="24">
        <f t="shared" si="2"/>
        <v>5101.1013287627593</v>
      </c>
      <c r="M33" s="22" t="s">
        <v>73</v>
      </c>
      <c r="N33" s="25">
        <f t="shared" si="0"/>
        <v>5101.1013287627593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2" t="s">
        <v>73</v>
      </c>
      <c r="AA33" s="22" t="s">
        <v>37</v>
      </c>
      <c r="AB33" s="57"/>
      <c r="AC33" s="57"/>
      <c r="AD33" s="57"/>
    </row>
    <row r="34" spans="2:30" s="26" customFormat="1" ht="121.5" customHeight="1" x14ac:dyDescent="0.25">
      <c r="B34" s="22">
        <v>17</v>
      </c>
      <c r="C34" s="80"/>
      <c r="D34" s="40" t="s">
        <v>49</v>
      </c>
      <c r="E34" s="22" t="s">
        <v>35</v>
      </c>
      <c r="F34" s="23">
        <v>1</v>
      </c>
      <c r="G34" s="22">
        <v>1</v>
      </c>
      <c r="H34" s="22" t="s">
        <v>71</v>
      </c>
      <c r="I34" s="22"/>
      <c r="J34" s="28">
        <f>6496000/1.12/1000</f>
        <v>5799.9999999999991</v>
      </c>
      <c r="K34" s="24"/>
      <c r="L34" s="24">
        <f t="shared" si="2"/>
        <v>5799.9999999999991</v>
      </c>
      <c r="M34" s="22" t="s">
        <v>73</v>
      </c>
      <c r="N34" s="25">
        <f t="shared" si="0"/>
        <v>5799.9999999999991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2" t="s">
        <v>73</v>
      </c>
      <c r="AA34" s="22" t="s">
        <v>37</v>
      </c>
    </row>
    <row r="35" spans="2:30" s="26" customFormat="1" ht="127.5" customHeight="1" x14ac:dyDescent="0.25">
      <c r="B35" s="22">
        <v>18</v>
      </c>
      <c r="C35" s="80"/>
      <c r="D35" s="40" t="s">
        <v>50</v>
      </c>
      <c r="E35" s="22" t="s">
        <v>36</v>
      </c>
      <c r="F35" s="23">
        <v>1</v>
      </c>
      <c r="G35" s="22">
        <v>1</v>
      </c>
      <c r="H35" s="22" t="s">
        <v>71</v>
      </c>
      <c r="I35" s="22"/>
      <c r="J35" s="28">
        <f>3214455/1.12/1000</f>
        <v>2870.0491071428569</v>
      </c>
      <c r="K35" s="24"/>
      <c r="L35" s="24">
        <f t="shared" si="2"/>
        <v>2870.0491071428569</v>
      </c>
      <c r="M35" s="22" t="s">
        <v>73</v>
      </c>
      <c r="N35" s="25">
        <f t="shared" si="0"/>
        <v>2870.0491071428569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2" t="s">
        <v>73</v>
      </c>
      <c r="AA35" s="22" t="s">
        <v>37</v>
      </c>
    </row>
    <row r="36" spans="2:30" s="26" customFormat="1" ht="82.5" customHeight="1" x14ac:dyDescent="0.25">
      <c r="B36" s="22">
        <v>19</v>
      </c>
      <c r="C36" s="80"/>
      <c r="D36" s="40" t="s">
        <v>51</v>
      </c>
      <c r="E36" s="22" t="s">
        <v>36</v>
      </c>
      <c r="F36" s="23">
        <v>1</v>
      </c>
      <c r="G36" s="22">
        <v>1</v>
      </c>
      <c r="H36" s="22" t="s">
        <v>71</v>
      </c>
      <c r="I36" s="22"/>
      <c r="J36" s="28">
        <f>317632/1.12/1000</f>
        <v>283.60000000000002</v>
      </c>
      <c r="K36" s="24">
        <f>J36</f>
        <v>283.60000000000002</v>
      </c>
      <c r="L36" s="24">
        <f t="shared" si="2"/>
        <v>0</v>
      </c>
      <c r="M36" s="22"/>
      <c r="N36" s="25">
        <f t="shared" si="0"/>
        <v>283.60000000000002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2"/>
      <c r="AA36" s="22" t="s">
        <v>37</v>
      </c>
    </row>
    <row r="37" spans="2:30" s="26" customFormat="1" ht="84.75" customHeight="1" x14ac:dyDescent="0.25">
      <c r="B37" s="22">
        <v>20</v>
      </c>
      <c r="C37" s="80"/>
      <c r="D37" s="40" t="s">
        <v>52</v>
      </c>
      <c r="E37" s="22" t="s">
        <v>36</v>
      </c>
      <c r="F37" s="23">
        <v>1</v>
      </c>
      <c r="G37" s="24">
        <v>0</v>
      </c>
      <c r="H37" s="22" t="s">
        <v>71</v>
      </c>
      <c r="I37" s="22"/>
      <c r="J37" s="28">
        <f>26460000/1.12/1000</f>
        <v>23624.999999999996</v>
      </c>
      <c r="K37" s="24"/>
      <c r="L37" s="24">
        <f t="shared" si="2"/>
        <v>23624.999999999996</v>
      </c>
      <c r="M37" s="22" t="s">
        <v>72</v>
      </c>
      <c r="N37" s="25">
        <f t="shared" si="0"/>
        <v>23624.999999999996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2" t="s">
        <v>72</v>
      </c>
      <c r="AA37" s="22" t="s">
        <v>37</v>
      </c>
    </row>
    <row r="38" spans="2:30" s="26" customFormat="1" ht="84" customHeight="1" x14ac:dyDescent="0.25">
      <c r="B38" s="22">
        <v>21</v>
      </c>
      <c r="C38" s="80"/>
      <c r="D38" s="40" t="s">
        <v>53</v>
      </c>
      <c r="E38" s="22" t="s">
        <v>36</v>
      </c>
      <c r="F38" s="23">
        <v>1</v>
      </c>
      <c r="G38" s="24">
        <v>0</v>
      </c>
      <c r="H38" s="22" t="s">
        <v>71</v>
      </c>
      <c r="I38" s="22"/>
      <c r="J38" s="28">
        <f>14983113.595858/1.12/1000</f>
        <v>13377.779996301786</v>
      </c>
      <c r="K38" s="24"/>
      <c r="L38" s="24">
        <f t="shared" ref="L38:L41" si="3">J38-K38</f>
        <v>13377.779996301786</v>
      </c>
      <c r="M38" s="22" t="s">
        <v>72</v>
      </c>
      <c r="N38" s="25">
        <f t="shared" si="0"/>
        <v>13377.779996301786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2" t="s">
        <v>72</v>
      </c>
      <c r="AA38" s="22" t="s">
        <v>37</v>
      </c>
    </row>
    <row r="39" spans="2:30" s="26" customFormat="1" ht="87.75" customHeight="1" x14ac:dyDescent="0.25">
      <c r="B39" s="22">
        <v>22</v>
      </c>
      <c r="C39" s="80"/>
      <c r="D39" s="41" t="s">
        <v>54</v>
      </c>
      <c r="E39" s="22" t="s">
        <v>35</v>
      </c>
      <c r="F39" s="23">
        <v>1</v>
      </c>
      <c r="G39" s="22">
        <v>1</v>
      </c>
      <c r="H39" s="22" t="s">
        <v>71</v>
      </c>
      <c r="I39" s="22"/>
      <c r="J39" s="28">
        <f>6338640/1.12/1000</f>
        <v>5659.4999999999991</v>
      </c>
      <c r="K39" s="24">
        <f>J39</f>
        <v>5659.4999999999991</v>
      </c>
      <c r="L39" s="24">
        <f t="shared" si="3"/>
        <v>0</v>
      </c>
      <c r="M39" s="22"/>
      <c r="N39" s="25">
        <f t="shared" si="0"/>
        <v>5659.4999999999991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2"/>
      <c r="AA39" s="22" t="s">
        <v>37</v>
      </c>
    </row>
    <row r="40" spans="2:30" s="26" customFormat="1" ht="90.75" customHeight="1" x14ac:dyDescent="0.25">
      <c r="B40" s="22">
        <v>23</v>
      </c>
      <c r="C40" s="80"/>
      <c r="D40" s="27" t="s">
        <v>55</v>
      </c>
      <c r="E40" s="22" t="s">
        <v>36</v>
      </c>
      <c r="F40" s="23">
        <v>1</v>
      </c>
      <c r="G40" s="22">
        <v>1</v>
      </c>
      <c r="H40" s="22" t="s">
        <v>71</v>
      </c>
      <c r="I40" s="22"/>
      <c r="J40" s="28">
        <f>2690.667</f>
        <v>2690.6669999999999</v>
      </c>
      <c r="K40" s="24">
        <f>J40</f>
        <v>2690.6669999999999</v>
      </c>
      <c r="L40" s="24">
        <f t="shared" si="3"/>
        <v>0</v>
      </c>
      <c r="M40" s="22"/>
      <c r="N40" s="25">
        <f t="shared" si="0"/>
        <v>2690.6669999999999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2"/>
      <c r="AA40" s="22" t="s">
        <v>37</v>
      </c>
      <c r="AB40" s="57"/>
      <c r="AC40" s="57"/>
      <c r="AD40" s="57"/>
    </row>
    <row r="41" spans="2:30" s="26" customFormat="1" ht="91.5" customHeight="1" x14ac:dyDescent="0.25">
      <c r="B41" s="22">
        <v>24</v>
      </c>
      <c r="C41" s="80"/>
      <c r="D41" s="27" t="s">
        <v>56</v>
      </c>
      <c r="E41" s="22" t="s">
        <v>36</v>
      </c>
      <c r="F41" s="23">
        <v>1</v>
      </c>
      <c r="G41" s="24">
        <v>0</v>
      </c>
      <c r="H41" s="22" t="s">
        <v>71</v>
      </c>
      <c r="I41" s="22"/>
      <c r="J41" s="28">
        <f>53340000/1.12/1000</f>
        <v>47624.999999999993</v>
      </c>
      <c r="K41" s="24">
        <v>0</v>
      </c>
      <c r="L41" s="24">
        <f t="shared" si="3"/>
        <v>47624.999999999993</v>
      </c>
      <c r="M41" s="22" t="s">
        <v>72</v>
      </c>
      <c r="N41" s="25">
        <f t="shared" si="0"/>
        <v>47624.999999999993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2" t="s">
        <v>72</v>
      </c>
      <c r="AA41" s="22" t="s">
        <v>37</v>
      </c>
    </row>
    <row r="42" spans="2:30" s="26" customFormat="1" ht="97.5" customHeight="1" x14ac:dyDescent="0.25">
      <c r="B42" s="22">
        <v>25</v>
      </c>
      <c r="C42" s="80"/>
      <c r="D42" s="47" t="s">
        <v>75</v>
      </c>
      <c r="E42" s="22" t="s">
        <v>65</v>
      </c>
      <c r="F42" s="23">
        <v>1</v>
      </c>
      <c r="G42" s="24">
        <v>0</v>
      </c>
      <c r="H42" s="22" t="s">
        <v>71</v>
      </c>
      <c r="I42" s="22"/>
      <c r="J42" s="28">
        <f>J43+J44+J45+J46</f>
        <v>2208.0357142857138</v>
      </c>
      <c r="K42" s="28">
        <f>K43+K44+K45+K46</f>
        <v>0</v>
      </c>
      <c r="L42" s="28">
        <f>L43+L44+L45+L46</f>
        <v>2208.0357142857138</v>
      </c>
      <c r="M42" s="22" t="s">
        <v>72</v>
      </c>
      <c r="N42" s="25">
        <f>J42</f>
        <v>2208.0357142857138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2" t="s">
        <v>72</v>
      </c>
      <c r="AA42" s="22" t="s">
        <v>37</v>
      </c>
      <c r="AB42" s="57"/>
      <c r="AC42" s="57"/>
    </row>
    <row r="43" spans="2:30" s="26" customFormat="1" ht="81" customHeight="1" outlineLevel="1" x14ac:dyDescent="0.25">
      <c r="B43" s="51" t="s">
        <v>67</v>
      </c>
      <c r="C43" s="80"/>
      <c r="D43" s="29" t="s">
        <v>59</v>
      </c>
      <c r="E43" s="22" t="s">
        <v>36</v>
      </c>
      <c r="F43" s="23">
        <v>1</v>
      </c>
      <c r="G43" s="22"/>
      <c r="H43" s="22" t="s">
        <v>71</v>
      </c>
      <c r="I43" s="22"/>
      <c r="J43" s="28">
        <f>448000/1.12/1000</f>
        <v>399.99999999999994</v>
      </c>
      <c r="K43" s="24"/>
      <c r="L43" s="24">
        <f t="shared" ref="L43:L46" si="4">J43-K43</f>
        <v>399.99999999999994</v>
      </c>
      <c r="M43" s="22" t="s">
        <v>72</v>
      </c>
      <c r="N43" s="25">
        <f t="shared" ref="N43:N45" si="5">J43</f>
        <v>399.99999999999994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37"/>
      <c r="W43" s="37"/>
      <c r="X43" s="37"/>
      <c r="Y43" s="37"/>
      <c r="Z43" s="22" t="s">
        <v>72</v>
      </c>
      <c r="AA43" s="22" t="s">
        <v>37</v>
      </c>
    </row>
    <row r="44" spans="2:30" s="26" customFormat="1" ht="96" customHeight="1" outlineLevel="1" x14ac:dyDescent="0.25">
      <c r="B44" s="51" t="s">
        <v>68</v>
      </c>
      <c r="C44" s="80"/>
      <c r="D44" s="29" t="s">
        <v>60</v>
      </c>
      <c r="E44" s="22" t="s">
        <v>36</v>
      </c>
      <c r="F44" s="23">
        <v>1</v>
      </c>
      <c r="G44" s="22"/>
      <c r="H44" s="22" t="s">
        <v>71</v>
      </c>
      <c r="I44" s="22"/>
      <c r="J44" s="28">
        <f>109000/1.12/1000</f>
        <v>97.321428571428569</v>
      </c>
      <c r="K44" s="24"/>
      <c r="L44" s="24">
        <f t="shared" si="4"/>
        <v>97.321428571428569</v>
      </c>
      <c r="M44" s="22" t="s">
        <v>72</v>
      </c>
      <c r="N44" s="25">
        <f t="shared" si="5"/>
        <v>97.321428571428569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37"/>
      <c r="W44" s="37"/>
      <c r="X44" s="37"/>
      <c r="Y44" s="37"/>
      <c r="Z44" s="22" t="s">
        <v>72</v>
      </c>
      <c r="AA44" s="22" t="s">
        <v>37</v>
      </c>
    </row>
    <row r="45" spans="2:30" s="26" customFormat="1" ht="69" customHeight="1" outlineLevel="1" x14ac:dyDescent="0.25">
      <c r="B45" s="51" t="s">
        <v>69</v>
      </c>
      <c r="C45" s="80"/>
      <c r="D45" s="29" t="s">
        <v>61</v>
      </c>
      <c r="E45" s="22" t="s">
        <v>36</v>
      </c>
      <c r="F45" s="23">
        <v>1</v>
      </c>
      <c r="G45" s="22"/>
      <c r="H45" s="22" t="s">
        <v>71</v>
      </c>
      <c r="I45" s="22"/>
      <c r="J45" s="28">
        <f>26000/1.12/1000</f>
        <v>23.214285714285715</v>
      </c>
      <c r="K45" s="24"/>
      <c r="L45" s="24">
        <f t="shared" si="4"/>
        <v>23.214285714285715</v>
      </c>
      <c r="M45" s="22" t="s">
        <v>72</v>
      </c>
      <c r="N45" s="25">
        <f t="shared" si="5"/>
        <v>23.214285714285715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37"/>
      <c r="W45" s="37"/>
      <c r="X45" s="37"/>
      <c r="Y45" s="37"/>
      <c r="Z45" s="22" t="s">
        <v>72</v>
      </c>
      <c r="AA45" s="22" t="s">
        <v>37</v>
      </c>
    </row>
    <row r="46" spans="2:30" s="26" customFormat="1" ht="90" customHeight="1" outlineLevel="1" x14ac:dyDescent="0.25">
      <c r="B46" s="51" t="s">
        <v>70</v>
      </c>
      <c r="C46" s="80"/>
      <c r="D46" s="29" t="s">
        <v>63</v>
      </c>
      <c r="E46" s="22" t="s">
        <v>36</v>
      </c>
      <c r="F46" s="23">
        <v>1</v>
      </c>
      <c r="G46" s="22"/>
      <c r="H46" s="22" t="s">
        <v>71</v>
      </c>
      <c r="I46" s="21"/>
      <c r="J46" s="49">
        <f>1890000/1.12/1000</f>
        <v>1687.4999999999998</v>
      </c>
      <c r="K46" s="34"/>
      <c r="L46" s="24">
        <f t="shared" si="4"/>
        <v>1687.4999999999998</v>
      </c>
      <c r="M46" s="22" t="s">
        <v>72</v>
      </c>
      <c r="N46" s="25">
        <f>J46</f>
        <v>1687.4999999999998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37"/>
      <c r="W46" s="37"/>
      <c r="X46" s="37"/>
      <c r="Y46" s="37"/>
      <c r="Z46" s="22" t="s">
        <v>72</v>
      </c>
      <c r="AA46" s="22" t="s">
        <v>37</v>
      </c>
    </row>
    <row r="47" spans="2:30" s="26" customFormat="1" ht="89.25" customHeight="1" x14ac:dyDescent="0.25">
      <c r="B47" s="22">
        <v>26</v>
      </c>
      <c r="C47" s="80"/>
      <c r="D47" s="42" t="s">
        <v>57</v>
      </c>
      <c r="E47" s="22" t="s">
        <v>36</v>
      </c>
      <c r="F47" s="23">
        <v>1</v>
      </c>
      <c r="G47" s="24">
        <v>0</v>
      </c>
      <c r="H47" s="22" t="s">
        <v>71</v>
      </c>
      <c r="I47" s="22"/>
      <c r="J47" s="28">
        <f>3990000/1.12/1000</f>
        <v>3562.4999999999995</v>
      </c>
      <c r="K47" s="24">
        <v>0</v>
      </c>
      <c r="L47" s="24">
        <f t="shared" ref="L47:L49" si="6">J47-K47</f>
        <v>3562.4999999999995</v>
      </c>
      <c r="M47" s="22" t="s">
        <v>72</v>
      </c>
      <c r="N47" s="25">
        <f t="shared" si="0"/>
        <v>3562.4999999999995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37">
        <v>9</v>
      </c>
      <c r="Y47" s="24">
        <v>0</v>
      </c>
      <c r="Z47" s="22" t="s">
        <v>72</v>
      </c>
      <c r="AA47" s="22" t="s">
        <v>37</v>
      </c>
    </row>
    <row r="48" spans="2:30" s="26" customFormat="1" ht="86.25" customHeight="1" x14ac:dyDescent="0.25">
      <c r="B48" s="22">
        <v>27</v>
      </c>
      <c r="C48" s="80"/>
      <c r="D48" s="29" t="s">
        <v>58</v>
      </c>
      <c r="E48" s="22" t="s">
        <v>36</v>
      </c>
      <c r="F48" s="23">
        <v>10</v>
      </c>
      <c r="G48" s="24">
        <v>0</v>
      </c>
      <c r="H48" s="22" t="s">
        <v>71</v>
      </c>
      <c r="I48" s="22"/>
      <c r="J48" s="28">
        <f>45581680/1.12/1000</f>
        <v>40697.928571428565</v>
      </c>
      <c r="K48" s="24"/>
      <c r="L48" s="24">
        <f t="shared" si="6"/>
        <v>40697.928571428565</v>
      </c>
      <c r="M48" s="22" t="s">
        <v>72</v>
      </c>
      <c r="N48" s="25">
        <f t="shared" si="0"/>
        <v>40697.928571428565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2" t="s">
        <v>72</v>
      </c>
      <c r="AA48" s="22" t="s">
        <v>37</v>
      </c>
    </row>
    <row r="49" spans="2:28" s="26" customFormat="1" ht="84.75" customHeight="1" x14ac:dyDescent="0.25">
      <c r="B49" s="22">
        <v>28</v>
      </c>
      <c r="C49" s="81"/>
      <c r="D49" s="56" t="s">
        <v>62</v>
      </c>
      <c r="E49" s="22" t="s">
        <v>35</v>
      </c>
      <c r="F49" s="25">
        <v>1</v>
      </c>
      <c r="G49" s="24">
        <v>0</v>
      </c>
      <c r="H49" s="22" t="s">
        <v>71</v>
      </c>
      <c r="I49" s="22"/>
      <c r="J49" s="35">
        <f>(((4300000/1.12/1000)+1393.57)-546.547)+844.64</f>
        <v>5530.9487142857151</v>
      </c>
      <c r="K49" s="24"/>
      <c r="L49" s="24">
        <f t="shared" si="6"/>
        <v>5530.9487142857151</v>
      </c>
      <c r="M49" s="22" t="s">
        <v>72</v>
      </c>
      <c r="N49" s="25">
        <f t="shared" si="0"/>
        <v>5530.9487142857151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2" t="s">
        <v>72</v>
      </c>
      <c r="AA49" s="22" t="s">
        <v>37</v>
      </c>
      <c r="AB49" s="58">
        <v>546.54745695152633</v>
      </c>
    </row>
    <row r="50" spans="2:28" s="26" customFormat="1" x14ac:dyDescent="0.25">
      <c r="C50" s="33"/>
      <c r="D50" s="30"/>
      <c r="F50" s="31"/>
      <c r="J50" s="32"/>
      <c r="K50" s="32"/>
      <c r="L50" s="32"/>
    </row>
    <row r="51" spans="2:28" s="26" customFormat="1" x14ac:dyDescent="0.25">
      <c r="D51" s="30"/>
      <c r="F51" s="31"/>
      <c r="J51" s="32"/>
      <c r="K51" s="32"/>
      <c r="L51" s="32"/>
    </row>
    <row r="52" spans="2:28" s="26" customFormat="1" x14ac:dyDescent="0.25">
      <c r="D52" s="30"/>
      <c r="F52" s="31"/>
      <c r="J52" s="32"/>
      <c r="K52" s="32"/>
      <c r="L52" s="32"/>
    </row>
    <row r="53" spans="2:28" s="26" customFormat="1" x14ac:dyDescent="0.25">
      <c r="D53" s="30"/>
      <c r="F53" s="31"/>
      <c r="J53" s="32"/>
      <c r="K53" s="32"/>
      <c r="L53" s="32"/>
    </row>
    <row r="54" spans="2:28" s="26" customFormat="1" x14ac:dyDescent="0.25">
      <c r="D54" s="30"/>
      <c r="F54" s="31"/>
      <c r="J54" s="32"/>
      <c r="K54" s="32"/>
      <c r="L54" s="32"/>
    </row>
    <row r="55" spans="2:28" s="26" customFormat="1" x14ac:dyDescent="0.25">
      <c r="D55" s="30"/>
      <c r="F55" s="31"/>
      <c r="J55" s="32"/>
      <c r="K55" s="32"/>
      <c r="L55" s="32"/>
    </row>
    <row r="56" spans="2:28" s="26" customFormat="1" x14ac:dyDescent="0.25">
      <c r="D56" s="30"/>
      <c r="F56" s="31"/>
      <c r="J56" s="32"/>
      <c r="K56" s="32"/>
      <c r="L56" s="32"/>
    </row>
    <row r="57" spans="2:28" s="26" customFormat="1" x14ac:dyDescent="0.25">
      <c r="D57" s="30"/>
      <c r="F57" s="31"/>
      <c r="J57" s="32"/>
      <c r="K57" s="32"/>
      <c r="L57" s="32"/>
    </row>
    <row r="58" spans="2:28" s="26" customFormat="1" x14ac:dyDescent="0.25">
      <c r="D58" s="30"/>
      <c r="F58" s="31"/>
      <c r="J58" s="32"/>
      <c r="K58" s="32"/>
      <c r="L58" s="32"/>
    </row>
    <row r="59" spans="2:28" s="26" customFormat="1" x14ac:dyDescent="0.25">
      <c r="D59" s="30"/>
      <c r="F59" s="31"/>
      <c r="J59" s="32"/>
      <c r="K59" s="32"/>
      <c r="L59" s="32"/>
    </row>
    <row r="60" spans="2:28" s="26" customFormat="1" x14ac:dyDescent="0.25">
      <c r="D60" s="30"/>
      <c r="F60" s="31"/>
      <c r="J60" s="32"/>
      <c r="K60" s="32"/>
      <c r="L60" s="32"/>
    </row>
    <row r="61" spans="2:28" s="26" customFormat="1" x14ac:dyDescent="0.25">
      <c r="D61" s="30"/>
      <c r="F61" s="31"/>
      <c r="J61" s="32"/>
      <c r="K61" s="32"/>
      <c r="L61" s="32"/>
    </row>
    <row r="62" spans="2:28" s="26" customFormat="1" x14ac:dyDescent="0.25">
      <c r="D62" s="30"/>
      <c r="F62" s="31"/>
      <c r="J62" s="32"/>
      <c r="K62" s="32"/>
      <c r="L62" s="32"/>
    </row>
    <row r="63" spans="2:28" s="26" customFormat="1" x14ac:dyDescent="0.25">
      <c r="D63" s="30"/>
      <c r="F63" s="31"/>
      <c r="J63" s="32"/>
      <c r="K63" s="32"/>
      <c r="L63" s="32"/>
    </row>
    <row r="64" spans="2:28" s="26" customFormat="1" x14ac:dyDescent="0.25">
      <c r="D64" s="30"/>
      <c r="F64" s="31"/>
      <c r="J64" s="32"/>
      <c r="K64" s="32"/>
      <c r="L64" s="32"/>
    </row>
  </sheetData>
  <mergeCells count="31">
    <mergeCell ref="C20:C49"/>
    <mergeCell ref="C15:C17"/>
    <mergeCell ref="F16:F17"/>
    <mergeCell ref="G16:G17"/>
    <mergeCell ref="N15:O16"/>
    <mergeCell ref="D15:D17"/>
    <mergeCell ref="E15:E17"/>
    <mergeCell ref="F15:G15"/>
    <mergeCell ref="H15:H17"/>
    <mergeCell ref="Q15:Q17"/>
    <mergeCell ref="J15:J17"/>
    <mergeCell ref="K15:K17"/>
    <mergeCell ref="L15:L17"/>
    <mergeCell ref="M15:M17"/>
    <mergeCell ref="P15:P17"/>
    <mergeCell ref="K8:P8"/>
    <mergeCell ref="X15:Y16"/>
    <mergeCell ref="R15:S16"/>
    <mergeCell ref="T15:U16"/>
    <mergeCell ref="V15:W16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</mergeCells>
  <pageMargins left="0.15748031496062992" right="0.15748031496062992" top="0.39370078740157483" bottom="0.15748031496062992" header="0.31496062992125984" footer="0.15748031496062992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Электроэнергия</vt:lpstr>
      <vt:lpstr>Электроэнергия!_Toc70416010</vt:lpstr>
      <vt:lpstr>Электроэнергия!_Toc70416011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Жанна Рахимжанова</cp:lastModifiedBy>
  <cp:lastPrinted>2021-07-23T07:39:51Z</cp:lastPrinted>
  <dcterms:created xsi:type="dcterms:W3CDTF">2021-06-21T03:57:49Z</dcterms:created>
  <dcterms:modified xsi:type="dcterms:W3CDTF">2022-07-20T08:52:26Z</dcterms:modified>
</cp:coreProperties>
</file>