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" yWindow="0" windowWidth="15468" windowHeight="14736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4" i="1" l="1"/>
  <c r="G12" i="1" l="1"/>
  <c r="G147" i="1"/>
  <c r="G69" i="1"/>
  <c r="H66" i="1" l="1"/>
  <c r="H87" i="1" l="1"/>
  <c r="F174" i="1" l="1"/>
  <c r="F43" i="1" l="1"/>
  <c r="F63" i="1" l="1"/>
  <c r="F16" i="1" l="1"/>
  <c r="F10" i="1"/>
  <c r="F67" i="1" l="1"/>
  <c r="F75" i="1"/>
  <c r="F74" i="1"/>
  <c r="F76" i="1"/>
  <c r="F84" i="1"/>
  <c r="F102" i="1"/>
  <c r="F103" i="1"/>
  <c r="F111" i="1"/>
  <c r="F113" i="1"/>
  <c r="F112" i="1"/>
  <c r="F114" i="1"/>
  <c r="F117" i="1"/>
  <c r="F122" i="1"/>
  <c r="F133" i="1"/>
  <c r="F142" i="1"/>
  <c r="F154" i="1"/>
  <c r="F158" i="1"/>
  <c r="F161" i="1"/>
  <c r="F163" i="1"/>
  <c r="F170" i="1"/>
  <c r="F173" i="1"/>
  <c r="F172" i="1"/>
  <c r="F175" i="1"/>
  <c r="F171" i="1"/>
  <c r="F169" i="1"/>
  <c r="F167" i="1"/>
  <c r="F165" i="1"/>
  <c r="F164" i="1"/>
  <c r="F162" i="1"/>
  <c r="F160" i="1"/>
  <c r="F159" i="1"/>
  <c r="F157" i="1"/>
  <c r="F156" i="1"/>
  <c r="F155" i="1"/>
  <c r="F153" i="1"/>
  <c r="F151" i="1"/>
  <c r="F150" i="1"/>
  <c r="F149" i="1"/>
  <c r="F148" i="1"/>
  <c r="F147" i="1"/>
  <c r="F146" i="1"/>
  <c r="F145" i="1"/>
  <c r="F144" i="1"/>
  <c r="F143" i="1"/>
  <c r="F135" i="1"/>
  <c r="F134" i="1"/>
  <c r="F132" i="1"/>
  <c r="F176" i="1"/>
  <c r="F166" i="1"/>
  <c r="F152" i="1"/>
  <c r="F141" i="1"/>
  <c r="F168" i="1"/>
  <c r="F139" i="1"/>
  <c r="F138" i="1"/>
  <c r="F137" i="1"/>
  <c r="F136" i="1"/>
  <c r="F131" i="1"/>
  <c r="F130" i="1"/>
  <c r="F129" i="1"/>
  <c r="F127" i="1"/>
  <c r="F126" i="1"/>
  <c r="F124" i="1"/>
  <c r="F125" i="1"/>
  <c r="F123" i="1"/>
  <c r="F121" i="1"/>
  <c r="F120" i="1"/>
  <c r="F119" i="1"/>
  <c r="F115" i="1"/>
  <c r="F110" i="1"/>
  <c r="F109" i="1"/>
  <c r="F116" i="1"/>
  <c r="F108" i="1"/>
  <c r="F107" i="1"/>
  <c r="F106" i="1"/>
  <c r="F105" i="1"/>
  <c r="F104" i="1"/>
  <c r="F101" i="1"/>
  <c r="F100" i="1"/>
  <c r="F99" i="1"/>
  <c r="F98" i="1"/>
  <c r="F97" i="1"/>
  <c r="F96" i="1"/>
  <c r="F88" i="1"/>
  <c r="F87" i="1"/>
  <c r="F95" i="1"/>
  <c r="F90" i="1"/>
  <c r="F89" i="1"/>
  <c r="F94" i="1"/>
  <c r="F93" i="1"/>
  <c r="F92" i="1"/>
  <c r="F91" i="1"/>
  <c r="F86" i="1" l="1"/>
  <c r="F85" i="1"/>
  <c r="F83" i="1"/>
  <c r="F82" i="1"/>
  <c r="F81" i="1"/>
  <c r="F80" i="1"/>
  <c r="F78" i="1"/>
  <c r="F79" i="1"/>
  <c r="F77" i="1"/>
  <c r="F72" i="1"/>
  <c r="F71" i="1"/>
  <c r="F66" i="1"/>
  <c r="F65" i="1"/>
  <c r="F61" i="1"/>
  <c r="F60" i="1"/>
  <c r="F59" i="1"/>
  <c r="F58" i="1"/>
  <c r="F57" i="1"/>
  <c r="F56" i="1"/>
  <c r="F50" i="1"/>
  <c r="F49" i="1"/>
  <c r="F48" i="1"/>
  <c r="F45" i="1"/>
  <c r="F40" i="1"/>
  <c r="F38" i="1"/>
  <c r="F39" i="1"/>
  <c r="F37" i="1"/>
  <c r="F25" i="1"/>
  <c r="F20" i="1"/>
  <c r="F21" i="1"/>
  <c r="F22" i="1"/>
  <c r="F19" i="1"/>
  <c r="F18" i="1"/>
  <c r="F17" i="1"/>
  <c r="F14" i="1"/>
  <c r="F13" i="1"/>
  <c r="F9" i="1"/>
  <c r="F6" i="1"/>
  <c r="F5" i="1"/>
  <c r="H128" i="1" l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7" i="1"/>
  <c r="I137" i="1" s="1"/>
  <c r="H138" i="1"/>
  <c r="I138" i="1" s="1"/>
  <c r="H139" i="1"/>
  <c r="I139" i="1" s="1"/>
  <c r="H140" i="1"/>
  <c r="H141" i="1"/>
  <c r="I141" i="1" s="1"/>
  <c r="H142" i="1"/>
  <c r="I142" i="1" s="1"/>
  <c r="H143" i="1"/>
  <c r="I143" i="1" s="1"/>
  <c r="H145" i="1"/>
  <c r="I145" i="1" s="1"/>
  <c r="H146" i="1"/>
  <c r="I146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I87" i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H72" i="1"/>
  <c r="I72" i="1" s="1"/>
  <c r="H71" i="1"/>
  <c r="I71" i="1" s="1"/>
  <c r="H70" i="1"/>
  <c r="H69" i="1"/>
  <c r="H28" i="1"/>
  <c r="I28" i="1" s="1"/>
  <c r="H29" i="1"/>
  <c r="I29" i="1" s="1"/>
  <c r="H30" i="1"/>
  <c r="H31" i="1"/>
  <c r="H32" i="1"/>
  <c r="H33" i="1"/>
  <c r="I33" i="1" s="1"/>
  <c r="H34" i="1"/>
  <c r="H35" i="1"/>
  <c r="H36" i="1"/>
  <c r="H37" i="1"/>
  <c r="I37" i="1" s="1"/>
  <c r="H38" i="1"/>
  <c r="I38" i="1" s="1"/>
  <c r="H39" i="1"/>
  <c r="I39" i="1" s="1"/>
  <c r="H40" i="1"/>
  <c r="I40" i="1" s="1"/>
  <c r="H41" i="1"/>
  <c r="H42" i="1"/>
  <c r="H43" i="1"/>
  <c r="I43" i="1" s="1"/>
  <c r="H44" i="1"/>
  <c r="H45" i="1"/>
  <c r="I45" i="1" s="1"/>
  <c r="H46" i="1"/>
  <c r="H47" i="1"/>
  <c r="H48" i="1"/>
  <c r="I48" i="1" s="1"/>
  <c r="H49" i="1"/>
  <c r="I49" i="1" s="1"/>
  <c r="H50" i="1"/>
  <c r="I50" i="1" s="1"/>
  <c r="H51" i="1"/>
  <c r="H52" i="1"/>
  <c r="H53" i="1"/>
  <c r="H54" i="1"/>
  <c r="H55" i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H63" i="1"/>
  <c r="I63" i="1" s="1"/>
  <c r="H64" i="1"/>
  <c r="H65" i="1"/>
  <c r="I65" i="1" s="1"/>
  <c r="I66" i="1"/>
  <c r="H67" i="1"/>
  <c r="I67" i="1" s="1"/>
  <c r="H27" i="1"/>
  <c r="I27" i="1" s="1"/>
  <c r="H26" i="1"/>
  <c r="I26" i="1" s="1"/>
  <c r="H25" i="1"/>
  <c r="I25" i="1" s="1"/>
  <c r="H24" i="1"/>
  <c r="I24" i="1" s="1"/>
  <c r="H6" i="1"/>
  <c r="I6" i="1" s="1"/>
  <c r="H7" i="1"/>
  <c r="H8" i="1"/>
  <c r="H9" i="1"/>
  <c r="I9" i="1" s="1"/>
  <c r="H10" i="1"/>
  <c r="I10" i="1" s="1"/>
  <c r="H11" i="1"/>
  <c r="H12" i="1"/>
  <c r="H13" i="1"/>
  <c r="I13" i="1" s="1"/>
  <c r="H14" i="1"/>
  <c r="I14" i="1" s="1"/>
  <c r="H15" i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5" i="1"/>
  <c r="I5" i="1" s="1"/>
  <c r="H147" i="1" l="1"/>
  <c r="I147" i="1" s="1"/>
  <c r="H144" i="1"/>
  <c r="I144" i="1" s="1"/>
  <c r="H136" i="1"/>
  <c r="I136" i="1" s="1"/>
  <c r="F140" i="1" l="1"/>
  <c r="I140" i="1" s="1"/>
  <c r="F128" i="1"/>
  <c r="I128" i="1" s="1"/>
  <c r="F73" i="1"/>
  <c r="I73" i="1" s="1"/>
  <c r="F70" i="1"/>
  <c r="I70" i="1" s="1"/>
  <c r="F69" i="1"/>
  <c r="I69" i="1" s="1"/>
  <c r="F64" i="1"/>
  <c r="I64" i="1" s="1"/>
  <c r="F62" i="1"/>
  <c r="I62" i="1" s="1"/>
  <c r="F55" i="1"/>
  <c r="I55" i="1" s="1"/>
  <c r="F54" i="1"/>
  <c r="I54" i="1" s="1"/>
  <c r="F53" i="1" l="1"/>
  <c r="I53" i="1" s="1"/>
  <c r="F52" i="1"/>
  <c r="I52" i="1" s="1"/>
  <c r="F51" i="1"/>
  <c r="I51" i="1" s="1"/>
  <c r="C48" i="1"/>
  <c r="F47" i="1"/>
  <c r="I47" i="1" s="1"/>
  <c r="F46" i="1"/>
  <c r="I46" i="1" s="1"/>
  <c r="F44" i="1"/>
  <c r="I44" i="1" s="1"/>
  <c r="F42" i="1"/>
  <c r="I42" i="1" s="1"/>
  <c r="F41" i="1"/>
  <c r="I41" i="1" s="1"/>
  <c r="F36" i="1"/>
  <c r="I36" i="1" s="1"/>
  <c r="F35" i="1"/>
  <c r="I35" i="1" s="1"/>
  <c r="F34" i="1"/>
  <c r="I34" i="1" s="1"/>
  <c r="C25" i="1"/>
  <c r="F15" i="1" l="1"/>
  <c r="I15" i="1" s="1"/>
  <c r="F32" i="1" l="1"/>
  <c r="I32" i="1" s="1"/>
  <c r="F31" i="1"/>
  <c r="I31" i="1" s="1"/>
  <c r="F30" i="1"/>
  <c r="I30" i="1" s="1"/>
  <c r="F12" i="1"/>
  <c r="I12" i="1" s="1"/>
  <c r="F11" i="1"/>
  <c r="I11" i="1" s="1"/>
  <c r="F8" i="1"/>
  <c r="I8" i="1" s="1"/>
  <c r="F7" i="1"/>
  <c r="I7" i="1" s="1"/>
  <c r="C30" i="1" l="1"/>
  <c r="C29" i="1"/>
  <c r="C26" i="1"/>
</calcChain>
</file>

<file path=xl/comments1.xml><?xml version="1.0" encoding="utf-8"?>
<comments xmlns="http://schemas.openxmlformats.org/spreadsheetml/2006/main">
  <authors>
    <author>Автор</author>
  </authors>
  <commentLis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вводные яч. с ЦРП-Южная
</t>
        </r>
      </text>
    </comment>
    <comment ref="G1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ГПП-Никольская яч.2,11
</t>
        </r>
      </text>
    </comment>
  </commentList>
</comments>
</file>

<file path=xl/sharedStrings.xml><?xml version="1.0" encoding="utf-8"?>
<sst xmlns="http://schemas.openxmlformats.org/spreadsheetml/2006/main" count="188" uniqueCount="185">
  <si>
    <t>№        п.п</t>
  </si>
  <si>
    <t>Наименование</t>
  </si>
  <si>
    <t>Протяженность, км</t>
  </si>
  <si>
    <t>Сечение</t>
  </si>
  <si>
    <t>ВЛ-35кВ</t>
  </si>
  <si>
    <t>ВЛ-35кВ Златоуст-4</t>
  </si>
  <si>
    <t>ВЛ-35кВ "ПР-2Е"</t>
  </si>
  <si>
    <t>ВЛ-35кВ "Б-1"</t>
  </si>
  <si>
    <t>ВЛ-35кВ "Б-2"</t>
  </si>
  <si>
    <t>ВЛ-35кВ "Златоуст-1"</t>
  </si>
  <si>
    <t>ВЛ-35кВ "Златоуст-2"</t>
  </si>
  <si>
    <t>ВЛ-35кВ "АСК-1"</t>
  </si>
  <si>
    <t>ВЛ-35кВ "АСК-2"</t>
  </si>
  <si>
    <t>ВЛ-35кВ"73/75-1"</t>
  </si>
  <si>
    <t>ВЛ-110кВ</t>
  </si>
  <si>
    <t>ВЛ-110кВ "12С"</t>
  </si>
  <si>
    <t xml:space="preserve">ВЛ-110кВ "14С" </t>
  </si>
  <si>
    <t xml:space="preserve">ВЛ-110кВ "1С" </t>
  </si>
  <si>
    <t xml:space="preserve">ВЛ-110кВ  "3С" </t>
  </si>
  <si>
    <t xml:space="preserve">ВЛ-110кВ "5С" </t>
  </si>
  <si>
    <t>ВЛ-110кВ "7С"</t>
  </si>
  <si>
    <t>ВЛ-110кВ "ОФ-1"</t>
  </si>
  <si>
    <t>ВЛ-110кВ "ОФ-2"</t>
  </si>
  <si>
    <t xml:space="preserve">ВЛ-110кВ "67-1" </t>
  </si>
  <si>
    <t xml:space="preserve">ВЛ-110кВ "67-2" </t>
  </si>
  <si>
    <t xml:space="preserve">ВЛ-110кВ  "65-1" </t>
  </si>
  <si>
    <t xml:space="preserve">ВЛ-110 кВ"65-2" </t>
  </si>
  <si>
    <t>150</t>
  </si>
  <si>
    <t>Уровень напряжения, кВ</t>
  </si>
  <si>
    <t>Номинальная пропускная способность, МВт</t>
  </si>
  <si>
    <t xml:space="preserve"> Загрузка, МВт</t>
  </si>
  <si>
    <t>Свободная мощность, МВт</t>
  </si>
  <si>
    <t>ВЛ- 16С</t>
  </si>
  <si>
    <t>ВЛ-"Мибулак-Жомарт"</t>
  </si>
  <si>
    <t xml:space="preserve">ВЛ- 2С </t>
  </si>
  <si>
    <t>ВЛ- 4С</t>
  </si>
  <si>
    <t>ВЛ- 6С</t>
  </si>
  <si>
    <t>ВЛ- 8С</t>
  </si>
  <si>
    <t xml:space="preserve">ВЛ-35кВ "ПР-1Е" </t>
  </si>
  <si>
    <t>ВЛ-35кВ"73/75-2"</t>
  </si>
  <si>
    <t>ВЛ-35кВ"АСК-1Ю"</t>
  </si>
  <si>
    <t>ВЛ-35кВ Итауыз-Сары Оба</t>
  </si>
  <si>
    <t>ВЛ-35кВ"ПР-1Ю"</t>
  </si>
  <si>
    <t>ВЛ-35кВ ПР-2Ю</t>
  </si>
  <si>
    <t>ВЛ-35кВ Никольская 1</t>
  </si>
  <si>
    <t>ВЛ-35кВ Никольская 2</t>
  </si>
  <si>
    <t>ВЛ-35кВ УВС-1с отпайкой на ЦРП-Карабулак 1,2</t>
  </si>
  <si>
    <t>ВЛ-35кВ УВС-2</t>
  </si>
  <si>
    <t>ВЛ-35кВ УВС-3</t>
  </si>
  <si>
    <t>ВЛ-35кВ"АСК-2Ю"</t>
  </si>
  <si>
    <t>ВЛ-35кВ"АСК-2Ю"отпайка на ЦРП-Карсакпай</t>
  </si>
  <si>
    <t>ВЛ-35кВ"АСК-2Ю"отпайка на ЦРП-Жанай</t>
  </si>
  <si>
    <t>ВЛ-35кВ В-1</t>
  </si>
  <si>
    <t>ВЛ-35кВ В-2</t>
  </si>
  <si>
    <t>ВЛ-35кВ ПР-1</t>
  </si>
  <si>
    <t>ВЛ-35кВ ПР-2</t>
  </si>
  <si>
    <t>ВЛ-35кВ "Юго-Западный портал"</t>
  </si>
  <si>
    <t>ВЛ-35кВ 18Ц</t>
  </si>
  <si>
    <t>ВЛ-35кВ19Ц</t>
  </si>
  <si>
    <t>ВЛ-35кВ"К-1"(Вент.ств№1)</t>
  </si>
  <si>
    <t>ВЛ-35кВ"К-2"(Вент.ств№1)</t>
  </si>
  <si>
    <t>ВЛ-35кВ"Л-1"(Вент.ств№2)</t>
  </si>
  <si>
    <t>ВЛ-35кВ"Л-2"(Вент.ств№2)</t>
  </si>
  <si>
    <t>ВЛ-35кВ 17 Ц</t>
  </si>
  <si>
    <t>ВЛ-35кВ 9 Ц</t>
  </si>
  <si>
    <t>ВЛ-35кВ 10 Ц</t>
  </si>
  <si>
    <t>ВЛ-35кВ 15 Ц</t>
  </si>
  <si>
    <t>ВЛ-35кВ 16 Ц</t>
  </si>
  <si>
    <t>ВЛ-35 кВ 1 Ц</t>
  </si>
  <si>
    <t>ВЛ-35 кВ 3 Ц</t>
  </si>
  <si>
    <t>ВЛ-35 кВ 5 Ц</t>
  </si>
  <si>
    <t>ВЛ-35 кВ 11 Ц</t>
  </si>
  <si>
    <t>ВЛ-35 кВ 13 "Ц"</t>
  </si>
  <si>
    <t>ВЛ-6кВ</t>
  </si>
  <si>
    <t>ВЛ-6кВ  яч.12 ЦРП-шх.31</t>
  </si>
  <si>
    <t>ВЛ-6кВ яч.20 ЦРП-шх.31</t>
  </si>
  <si>
    <t>ВЛ-6кВ  яч.26 ЦРП-шх.31</t>
  </si>
  <si>
    <t>ВЛ-6кВ яч.17 ЦРП-шх.31</t>
  </si>
  <si>
    <t>ВЛ-6кВ  яч.5  ЦРП-ТП-5</t>
  </si>
  <si>
    <t>ВЛ-6кВ яч.6  ЦРП-ТП-5</t>
  </si>
  <si>
    <t>ВЛ-6кВ  яч.8 РП-31бис</t>
  </si>
  <si>
    <t>ВЛ-6кВ  яч.10 ЦРП-Южная</t>
  </si>
  <si>
    <t>ВЛ-6кВ  яч.24 ЦРП-Южная</t>
  </si>
  <si>
    <t>ВЛ-6кВ  яч.22 ЦРП-Южная</t>
  </si>
  <si>
    <t>ВЛ-6кВ  яч.6 ЦРП-шх.45</t>
  </si>
  <si>
    <t>ВЛ-6кВ яч.7 ЦРП-шх.55</t>
  </si>
  <si>
    <t>ВЛ-6кВ яч.16 ЦРП-шх.55</t>
  </si>
  <si>
    <t>ВЛ-6кВ яч.3 ЦРП-шх.58</t>
  </si>
  <si>
    <t>ВЛ-6кВ яч.1 ЦРП-ЮЗК</t>
  </si>
  <si>
    <t>ВЛ-6кВ яч.2 ЦРП-ЮЗК</t>
  </si>
  <si>
    <t>ВЛ-6кВ яч.35 ЦРП-ЮЗК</t>
  </si>
  <si>
    <t>ВЛ-6кВ яч.38 ЦРП-ЮЗК</t>
  </si>
  <si>
    <t>ВЛ-6кВ яч.8 ГПП-СОФ-3</t>
  </si>
  <si>
    <t>ВЛ-6кВ яч.18 ГПП-СОФ-3</t>
  </si>
  <si>
    <t>ВЛ-6кВ  яч 6 ЦРП-ВОС</t>
  </si>
  <si>
    <t>ВЛ-6кВ  яч 19 ЦРП-ВОС</t>
  </si>
  <si>
    <t>ВЛ-6кВ яч 26 ГПП-61</t>
  </si>
  <si>
    <t>ВЛ-6кВ яч 8 ГПП-61</t>
  </si>
  <si>
    <t>ВЛ-6кВ яч.4 ЖБИ</t>
  </si>
  <si>
    <t>ВЛ-6кВ яч.6 ЖБИ</t>
  </si>
  <si>
    <t>ВЛ-6кВ яч 10 ЦРП-73/75</t>
  </si>
  <si>
    <t>ВЛ-6кВ яч 26 ЦРП-73/75</t>
  </si>
  <si>
    <t>ВЛ-6кВ  яч.16 ГПП-57</t>
  </si>
  <si>
    <t>ВЛ-6кВ яч.10 ГПП-шх.67</t>
  </si>
  <si>
    <t>ВЛ-6кВ яч.32 ГПП-шх.67</t>
  </si>
  <si>
    <t>ВЛ-6кВ яч.30 ГПП-шх.67</t>
  </si>
  <si>
    <t>ВЛ-6кВ яч.1 ГПП-шх.67</t>
  </si>
  <si>
    <t>ВЛ-6кВ яч.1 КСО ЮЗР</t>
  </si>
  <si>
    <t>ВЛ-6кВ яч.14 КСО ЮЗР</t>
  </si>
  <si>
    <t>ВЛ-6кВ яч.5 ВОС</t>
  </si>
  <si>
    <t>ВЛ-6кВ  яч.2 ЦРП Жанай</t>
  </si>
  <si>
    <t>ВЛ-6кВ  яч.5 ЦРП Жанай</t>
  </si>
  <si>
    <t>ВЛ-6кВ яч.4 ЦРП-УВС-1</t>
  </si>
  <si>
    <t>ВЛ-6кВ яч.5 ЦРП-УВС-1</t>
  </si>
  <si>
    <t>ВЛ-6кВ яч.2 ЦРП-УВС-3</t>
  </si>
  <si>
    <t>ВЛ-6кВ яч.6 ЦРП-УВС-3</t>
  </si>
  <si>
    <t>ВЛ-6кВ яч 1 Вентствол</t>
  </si>
  <si>
    <t>ВЛ-6кВ яч.1 Досмагамбет</t>
  </si>
  <si>
    <t>ВЛ-6кВ ЦРП-2  яч№6  ПВЗ</t>
  </si>
  <si>
    <t>ВЛ-6кВ ГПП-Городская яч11Фек.нас№9</t>
  </si>
  <si>
    <t>ВЛ-6кВ ГПП-Городская яч20 Фек.нас№9</t>
  </si>
  <si>
    <t>ВЛ-6кВ ЦРП-5Т ПОСТ ЭЦ яч.20</t>
  </si>
  <si>
    <t>ВЛ-6кВ ЦРП-ЗКСМ "Аварийный" яч.№16</t>
  </si>
  <si>
    <t>ВЛ-6кВ ЦРП-ПНС.яч№3" Карьер"</t>
  </si>
  <si>
    <t xml:space="preserve">ВЛ-6кВ ЦРП-12 яч16"Шлакоотвал" </t>
  </si>
  <si>
    <t>ВЛ-6кВ ЦРП-7 яч13 "Костен-гол-сай"</t>
  </si>
  <si>
    <t>ВЛ-6кВ ЦРП-12яч14"Объед.насосная"</t>
  </si>
  <si>
    <t>ВЛ-6кВ ЦРП-НОВ№1 Нижний бъеф яч.11</t>
  </si>
  <si>
    <t>ВЛ-6кВ ЦРП-5Т " Индукц. котельная" яч12 "Совхоз"</t>
  </si>
  <si>
    <t>ВЛ-6кВ ЦРП-8"Шлакоотвал" яч4</t>
  </si>
  <si>
    <t>ВЛ-6кВ ЦРП-8 "Шлакоотвал" яч18</t>
  </si>
  <si>
    <t>ВЛ-6кВ ЦРП-12 Гл.насосная яч №7</t>
  </si>
  <si>
    <t>ВЛ-6кВ ЦРП-12 Гл.насосная яч №21</t>
  </si>
  <si>
    <t>ВЛ-6кВ ЦРП-12 "Воздухоотдувка" яч9</t>
  </si>
  <si>
    <t>ВЛ-6кВ ЦРП-12 "Воздухоотдувка" яч25</t>
  </si>
  <si>
    <t xml:space="preserve">ВЛ-6кВ ЦРП-ПНС-1 "Кирзавод" с  яч№9 </t>
  </si>
  <si>
    <t>ВЛ-6кВ ЦРП-8 яч10 "РСУ"</t>
  </si>
  <si>
    <t>ВЛ-6кВ ЦРП-НОВ№1 Пионерская дамба яч.14</t>
  </si>
  <si>
    <t>ВЛ-6кВ ЦРП-Спутник "з/о Горняк" яч №7</t>
  </si>
  <si>
    <t>ВЛ-6кВ ЦРП-НОВ№2 Кр/х-во №2,3 яч.13</t>
  </si>
  <si>
    <t>ВЛ-6кВ яч-18 ЦРП-2</t>
  </si>
  <si>
    <t>ВЛ-6кВ яч-6 ЦРП-1</t>
  </si>
  <si>
    <t>ВЛ-6кВ внеш/площад.сети э/снаб</t>
  </si>
  <si>
    <t>ВЛ-6кВ ЦРП-2 яч14,5</t>
  </si>
  <si>
    <t>ВЛ-6кВ яч-14 ЦРП-1</t>
  </si>
  <si>
    <t>ВЛ-6кВ яч24 ЦРП-1</t>
  </si>
  <si>
    <t>ВЛ-6кВ яч19 ЦРП-1</t>
  </si>
  <si>
    <t>ВЛ-6кВ яч7 ЦРП-5</t>
  </si>
  <si>
    <t>ВЛ-6кВ яч9 ЦРП-5</t>
  </si>
  <si>
    <t>ВЛ-6кВ   до 23кв-л ЦРП-3 яч26</t>
  </si>
  <si>
    <t>ВЛ-6кВ яч10 ЦРП-1</t>
  </si>
  <si>
    <t>ВЛ-6кВ   ЦРП-3 яч19</t>
  </si>
  <si>
    <t>ВЛ-6кВ   ЦРП-3 яч27</t>
  </si>
  <si>
    <t>ВЛ-6кВ   ЦРП-3 яч22</t>
  </si>
  <si>
    <t>ВЛ-6кВ яч17 ЦРП-5</t>
  </si>
  <si>
    <t>ВЛ-6кВ яч24 ЦРП-5</t>
  </si>
  <si>
    <t>ВЛ-6кВ Строитель</t>
  </si>
  <si>
    <t>ВЛ-6кВ Перемычка с ЦРП -9</t>
  </si>
  <si>
    <t>ВЛ-6кВ ТП-92 кв-л КТП-Индивидуалка</t>
  </si>
  <si>
    <t>ВЛ-6кВ Общественные огороды</t>
  </si>
  <si>
    <t>ВЛ-6кВ Старый  аэропорт</t>
  </si>
  <si>
    <t>Загрузка в кВт.час</t>
  </si>
  <si>
    <t>ВЛ-6кВ яч.26 ГПП-Анненская</t>
  </si>
  <si>
    <t>ВЛ-10кВ яч.1 ГПП-Анненская</t>
  </si>
  <si>
    <t>ВЛ-6кВ яч.2 ГПП-Анненская</t>
  </si>
  <si>
    <t>ВЛ-6кВ яч.7 ГПП-Анненская</t>
  </si>
  <si>
    <t>ВЛ-6кВ яч-19 ЦРП-3 малоэтаж.ж/застр.65кв-л</t>
  </si>
  <si>
    <t>ВЛ-6кВ ИСА с ГПП-Городская яч.27</t>
  </si>
  <si>
    <t>ВЛ-6кВ ЦРП-12 "Объединенная насосная" яч23</t>
  </si>
  <si>
    <t>ВЛ-6кВ №11 и №2 от ГПП-220кВ</t>
  </si>
  <si>
    <t>ВЛ-6кВ яч 1а ЦРП-УВС-1 Талдысай</t>
  </si>
  <si>
    <t xml:space="preserve">ВЛ-6кВ от ГПП-220кВ яч.14  до бывшего ДСК  </t>
  </si>
  <si>
    <t>ВЛ-6кВ ЦРП-5Т "Развилка" яч.№18А</t>
  </si>
  <si>
    <t>ВЛ-6кВ Первомайский ЦРП-3 яч 6</t>
  </si>
  <si>
    <t>ВЛ-6кВ Объекты КМС с ЦРП-2</t>
  </si>
  <si>
    <t>ВЛ-6кВ Садовый  ЦРП-9 яч 13</t>
  </si>
  <si>
    <t>ВЛ-6кВ Рыбачий ЦРП-4 яч 28</t>
  </si>
  <si>
    <t>ВЛ-6кВ Вокзал ЦРП-6 яч 15</t>
  </si>
  <si>
    <t>ВЛ-6кВ Клубный с ЦРП-2</t>
  </si>
  <si>
    <t>ВЛ-6кВ РМЗ ЦРП-3 яч 7</t>
  </si>
  <si>
    <t>ВЛ-6кВ Старый микрорайон ЦРП-14 яч 6</t>
  </si>
  <si>
    <t>ВЛ-6кВ ДСУ -65 ЦРП-5Т яч 19</t>
  </si>
  <si>
    <t>ВЛ-6кВ ЖДЦ с ЦРП-4 яч.10</t>
  </si>
  <si>
    <t>демонтирован</t>
  </si>
  <si>
    <t xml:space="preserve">                              Данные по существующим  ВЛ-110, 35, 6 кВ  ПЭС за август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</si>
</sst>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/>
    <xf numFmtId="0" fontId="6" fillId="0" borderId="0" xfId="1" applyFont="1"/>
    <xf numFmtId="0" fontId="8" fillId="0" borderId="0" xfId="1" applyFont="1"/>
    <xf numFmtId="0" fontId="8" fillId="0" borderId="0" xfId="0" applyFont="1"/>
    <xf numFmtId="3" fontId="5" fillId="0" borderId="0" xfId="0" applyNumberFormat="1" applyFont="1" applyAlignment="1">
      <alignment horizontal="center"/>
    </xf>
    <xf numFmtId="0" fontId="3" fillId="0" borderId="0" xfId="1" applyFont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/>
    </xf>
    <xf numFmtId="0" fontId="11" fillId="0" borderId="3" xfId="0" applyFont="1" applyBorder="1"/>
    <xf numFmtId="0" fontId="6" fillId="0" borderId="3" xfId="0" applyFont="1" applyBorder="1"/>
    <xf numFmtId="0" fontId="6" fillId="0" borderId="3" xfId="1" applyFont="1" applyBorder="1" applyAlignment="1">
      <alignment horizontal="center"/>
    </xf>
    <xf numFmtId="0" fontId="11" fillId="0" borderId="3" xfId="3" applyFont="1" applyBorder="1"/>
    <xf numFmtId="0" fontId="11" fillId="0" borderId="3" xfId="3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9" fillId="0" borderId="3" xfId="3" applyFont="1" applyBorder="1" applyAlignment="1">
      <alignment horizontal="center"/>
    </xf>
    <xf numFmtId="0" fontId="11" fillId="0" borderId="3" xfId="2" applyFont="1" applyBorder="1"/>
    <xf numFmtId="0" fontId="11" fillId="0" borderId="3" xfId="0" applyFont="1" applyBorder="1" applyAlignment="1">
      <alignment horizontal="left"/>
    </xf>
    <xf numFmtId="0" fontId="11" fillId="2" borderId="3" xfId="2" applyFont="1" applyFill="1" applyBorder="1" applyAlignment="1">
      <alignment horizontal="center"/>
    </xf>
    <xf numFmtId="3" fontId="11" fillId="2" borderId="3" xfId="2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5" fillId="2" borderId="3" xfId="2" applyFont="1" applyFill="1" applyBorder="1" applyAlignment="1">
      <alignment horizontal="center"/>
    </xf>
    <xf numFmtId="3" fontId="5" fillId="2" borderId="3" xfId="2" applyNumberFormat="1" applyFont="1" applyFill="1" applyBorder="1" applyAlignment="1">
      <alignment horizontal="center"/>
    </xf>
    <xf numFmtId="0" fontId="12" fillId="0" borderId="4" xfId="1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/>
    </xf>
    <xf numFmtId="3" fontId="6" fillId="0" borderId="4" xfId="1" applyNumberFormat="1" applyFont="1" applyBorder="1"/>
    <xf numFmtId="0" fontId="10" fillId="0" borderId="3" xfId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distributed"/>
    </xf>
    <xf numFmtId="0" fontId="9" fillId="0" borderId="3" xfId="2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1" fillId="0" borderId="3" xfId="3" applyFont="1" applyBorder="1" applyAlignment="1">
      <alignment vertical="top" wrapText="1"/>
    </xf>
    <xf numFmtId="0" fontId="11" fillId="0" borderId="3" xfId="3" applyFont="1" applyBorder="1" applyAlignment="1">
      <alignment vertical="top"/>
    </xf>
    <xf numFmtId="0" fontId="5" fillId="2" borderId="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horizontal="center"/>
    </xf>
    <xf numFmtId="167" fontId="5" fillId="0" borderId="3" xfId="0" applyNumberFormat="1" applyFont="1" applyBorder="1" applyAlignment="1">
      <alignment horizontal="center" vertical="center"/>
    </xf>
    <xf numFmtId="167" fontId="6" fillId="0" borderId="3" xfId="0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0" fontId="6" fillId="2" borderId="4" xfId="1" applyFont="1" applyFill="1" applyBorder="1"/>
    <xf numFmtId="0" fontId="6" fillId="2" borderId="0" xfId="0" applyFont="1" applyFill="1" applyAlignment="1">
      <alignment horizontal="center"/>
    </xf>
    <xf numFmtId="0" fontId="3" fillId="2" borderId="0" xfId="1" applyFont="1" applyFill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wrapText="1"/>
    </xf>
    <xf numFmtId="165" fontId="5" fillId="2" borderId="3" xfId="1" applyNumberFormat="1" applyFont="1" applyFill="1" applyBorder="1" applyAlignment="1">
      <alignment horizontal="center"/>
    </xf>
    <xf numFmtId="165" fontId="5" fillId="2" borderId="3" xfId="1" applyNumberFormat="1" applyFont="1" applyFill="1" applyBorder="1"/>
    <xf numFmtId="0" fontId="6" fillId="2" borderId="3" xfId="1" applyFont="1" applyFill="1" applyBorder="1"/>
    <xf numFmtId="2" fontId="5" fillId="2" borderId="3" xfId="1" applyNumberFormat="1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49" fontId="5" fillId="2" borderId="3" xfId="1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11" fillId="2" borderId="3" xfId="3" applyFont="1" applyFill="1" applyBorder="1" applyAlignment="1">
      <alignment horizontal="center"/>
    </xf>
    <xf numFmtId="164" fontId="11" fillId="2" borderId="3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11" fillId="2" borderId="3" xfId="3" applyNumberFormat="1" applyFont="1" applyFill="1" applyBorder="1" applyAlignment="1">
      <alignment horizontal="center"/>
    </xf>
    <xf numFmtId="2" fontId="11" fillId="2" borderId="3" xfId="3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5" fillId="2" borderId="3" xfId="2" applyNumberFormat="1" applyFont="1" applyFill="1" applyBorder="1" applyAlignment="1">
      <alignment horizontal="center"/>
    </xf>
    <xf numFmtId="0" fontId="6" fillId="2" borderId="0" xfId="0" applyFont="1" applyFill="1"/>
    <xf numFmtId="3" fontId="5" fillId="2" borderId="3" xfId="0" applyNumberFormat="1" applyFont="1" applyFill="1" applyBorder="1" applyAlignment="1">
      <alignment horizontal="center" wrapText="1"/>
    </xf>
    <xf numFmtId="3" fontId="5" fillId="2" borderId="3" xfId="1" applyNumberFormat="1" applyFont="1" applyFill="1" applyBorder="1"/>
    <xf numFmtId="3" fontId="5" fillId="2" borderId="3" xfId="1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12" xfId="2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6"/>
  <sheetViews>
    <sheetView tabSelected="1" zoomScale="90" zoomScaleNormal="90" workbookViewId="0">
      <pane xSplit="10" ySplit="15" topLeftCell="K93" activePane="bottomRight" state="frozen"/>
      <selection pane="topRight" activeCell="K1" sqref="K1"/>
      <selection pane="bottomLeft" activeCell="A16" sqref="A16"/>
      <selection pane="bottomRight" activeCell="J5" sqref="J5"/>
    </sheetView>
  </sheetViews>
  <sheetFormatPr defaultColWidth="9.109375" defaultRowHeight="15.6" x14ac:dyDescent="0.3"/>
  <cols>
    <col min="1" max="1" width="7.109375" style="3" customWidth="1"/>
    <col min="2" max="2" width="45.6640625" style="3" customWidth="1"/>
    <col min="3" max="3" width="14.88671875" style="73" customWidth="1"/>
    <col min="4" max="4" width="12.6640625" style="42" customWidth="1"/>
    <col min="5" max="5" width="11.88671875" style="42" customWidth="1"/>
    <col min="6" max="8" width="14.88671875" style="42" customWidth="1"/>
    <col min="9" max="9" width="15" style="7" customWidth="1"/>
    <col min="10" max="12" width="13.44140625" style="3" customWidth="1"/>
    <col min="13" max="16384" width="9.109375" style="3"/>
  </cols>
  <sheetData>
    <row r="1" spans="1:25" ht="33.75" customHeight="1" x14ac:dyDescent="0.25">
      <c r="A1" s="80" t="s">
        <v>184</v>
      </c>
      <c r="B1" s="81"/>
      <c r="C1" s="81"/>
      <c r="D1" s="81"/>
      <c r="E1" s="81"/>
      <c r="F1" s="81"/>
      <c r="G1" s="81"/>
      <c r="H1" s="43"/>
      <c r="I1" s="8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7.399999999999999" x14ac:dyDescent="0.25">
      <c r="A2" s="78"/>
      <c r="B2" s="79"/>
      <c r="C2" s="79"/>
      <c r="D2" s="79"/>
      <c r="E2" s="79"/>
      <c r="F2" s="79"/>
      <c r="G2" s="79"/>
      <c r="H2" s="79"/>
      <c r="I2" s="79"/>
      <c r="J2" s="4"/>
      <c r="K2" s="4"/>
      <c r="L2" s="4"/>
      <c r="M2" s="4"/>
      <c r="N2" s="4"/>
    </row>
    <row r="3" spans="1:25" s="6" customFormat="1" ht="81.75" customHeight="1" x14ac:dyDescent="0.3">
      <c r="A3" s="9" t="s">
        <v>0</v>
      </c>
      <c r="B3" s="9" t="s">
        <v>1</v>
      </c>
      <c r="C3" s="54" t="s">
        <v>2</v>
      </c>
      <c r="D3" s="54" t="s">
        <v>3</v>
      </c>
      <c r="E3" s="54" t="s">
        <v>28</v>
      </c>
      <c r="F3" s="40" t="s">
        <v>29</v>
      </c>
      <c r="G3" s="40" t="s">
        <v>161</v>
      </c>
      <c r="H3" s="44" t="s">
        <v>30</v>
      </c>
      <c r="I3" s="77" t="s">
        <v>31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5" ht="16.2" x14ac:dyDescent="0.35">
      <c r="A4" s="25"/>
      <c r="B4" s="26" t="s">
        <v>14</v>
      </c>
      <c r="C4" s="55"/>
      <c r="D4" s="41"/>
      <c r="E4" s="41"/>
      <c r="F4" s="41"/>
      <c r="G4" s="41"/>
      <c r="H4" s="41"/>
      <c r="I4" s="2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5" x14ac:dyDescent="0.3">
      <c r="A5" s="28">
        <v>1</v>
      </c>
      <c r="B5" s="14" t="s">
        <v>15</v>
      </c>
      <c r="C5" s="34">
        <v>8.6999999999999993</v>
      </c>
      <c r="D5" s="56">
        <v>120</v>
      </c>
      <c r="E5" s="56">
        <v>110</v>
      </c>
      <c r="F5" s="45">
        <f>375*1.73*110*0.8/1000</f>
        <v>57.09</v>
      </c>
      <c r="G5" s="74">
        <v>3978638</v>
      </c>
      <c r="H5" s="45">
        <f>G5/744/1000</f>
        <v>5.3476317204301074</v>
      </c>
      <c r="I5" s="38">
        <f>(F5-H5)*0.6</f>
        <v>31.045420967741936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5" x14ac:dyDescent="0.3">
      <c r="A6" s="28">
        <v>2</v>
      </c>
      <c r="B6" s="14" t="s">
        <v>16</v>
      </c>
      <c r="C6" s="34">
        <v>8.6999999999999993</v>
      </c>
      <c r="D6" s="56">
        <v>120</v>
      </c>
      <c r="E6" s="56">
        <v>110</v>
      </c>
      <c r="F6" s="45">
        <f>375*1.73*110*0.8/1000</f>
        <v>57.09</v>
      </c>
      <c r="G6" s="74">
        <v>3601594</v>
      </c>
      <c r="H6" s="45">
        <f t="shared" ref="H6:H69" si="0">G6/744/1000</f>
        <v>4.8408521505376347</v>
      </c>
      <c r="I6" s="38">
        <f t="shared" ref="I6:I22" si="1">(F6-H6)*0.6</f>
        <v>31.34948870967742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5" x14ac:dyDescent="0.3">
      <c r="A7" s="28">
        <v>3</v>
      </c>
      <c r="B7" s="14" t="s">
        <v>17</v>
      </c>
      <c r="C7" s="57">
        <v>3.64</v>
      </c>
      <c r="D7" s="29" t="s">
        <v>27</v>
      </c>
      <c r="E7" s="56">
        <v>110</v>
      </c>
      <c r="F7" s="45">
        <f t="shared" ref="F7:F10" si="2">440*1.73*110*0.8/1000</f>
        <v>66.985600000000005</v>
      </c>
      <c r="G7" s="74">
        <v>6812299</v>
      </c>
      <c r="H7" s="45">
        <f t="shared" si="0"/>
        <v>9.1563158602150541</v>
      </c>
      <c r="I7" s="38">
        <f t="shared" si="1"/>
        <v>34.697570483870969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5" x14ac:dyDescent="0.3">
      <c r="A8" s="28">
        <v>4</v>
      </c>
      <c r="B8" s="14" t="s">
        <v>18</v>
      </c>
      <c r="C8" s="57">
        <v>3.64</v>
      </c>
      <c r="D8" s="29" t="s">
        <v>27</v>
      </c>
      <c r="E8" s="56">
        <v>110</v>
      </c>
      <c r="F8" s="45">
        <f t="shared" si="2"/>
        <v>66.985600000000005</v>
      </c>
      <c r="G8" s="74">
        <v>5830508</v>
      </c>
      <c r="H8" s="45">
        <f t="shared" si="0"/>
        <v>7.8367043010752688</v>
      </c>
      <c r="I8" s="38">
        <f t="shared" si="1"/>
        <v>35.48933741935484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5" x14ac:dyDescent="0.3">
      <c r="A9" s="28">
        <v>5</v>
      </c>
      <c r="B9" s="14" t="s">
        <v>19</v>
      </c>
      <c r="C9" s="34">
        <v>11.029</v>
      </c>
      <c r="D9" s="29">
        <v>150</v>
      </c>
      <c r="E9" s="56">
        <v>110</v>
      </c>
      <c r="F9" s="45">
        <f t="shared" si="2"/>
        <v>66.985600000000005</v>
      </c>
      <c r="G9" s="74">
        <v>3121663</v>
      </c>
      <c r="H9" s="45">
        <f t="shared" si="0"/>
        <v>4.195783602150537</v>
      </c>
      <c r="I9" s="38">
        <f>(F9-H9)*0.6</f>
        <v>37.673889838709684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5" x14ac:dyDescent="0.3">
      <c r="A10" s="28">
        <v>6</v>
      </c>
      <c r="B10" s="14" t="s">
        <v>20</v>
      </c>
      <c r="C10" s="34">
        <v>11.029</v>
      </c>
      <c r="D10" s="29">
        <v>150</v>
      </c>
      <c r="E10" s="56">
        <v>110</v>
      </c>
      <c r="F10" s="45">
        <f t="shared" si="2"/>
        <v>66.985600000000005</v>
      </c>
      <c r="G10" s="74">
        <v>12771893</v>
      </c>
      <c r="H10" s="45">
        <f t="shared" si="0"/>
        <v>17.166522849462368</v>
      </c>
      <c r="I10" s="38">
        <f t="shared" si="1"/>
        <v>29.89144629032258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5" x14ac:dyDescent="0.3">
      <c r="A11" s="28">
        <v>7</v>
      </c>
      <c r="B11" s="14" t="s">
        <v>21</v>
      </c>
      <c r="C11" s="57">
        <v>5.8</v>
      </c>
      <c r="D11" s="29" t="s">
        <v>27</v>
      </c>
      <c r="E11" s="56">
        <v>110</v>
      </c>
      <c r="F11" s="45">
        <f>385*1.73*110*0.8/1000</f>
        <v>58.612400000000001</v>
      </c>
      <c r="G11" s="74">
        <v>1154520</v>
      </c>
      <c r="H11" s="45">
        <f t="shared" si="0"/>
        <v>1.5517741935483871</v>
      </c>
      <c r="I11" s="38">
        <f t="shared" si="1"/>
        <v>34.236375483870965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" x14ac:dyDescent="0.3">
      <c r="A12" s="28">
        <v>8</v>
      </c>
      <c r="B12" s="14" t="s">
        <v>22</v>
      </c>
      <c r="C12" s="57">
        <v>5.8</v>
      </c>
      <c r="D12" s="29" t="s">
        <v>27</v>
      </c>
      <c r="E12" s="56">
        <v>110</v>
      </c>
      <c r="F12" s="45">
        <f>385*1.73*110*0.8/1000</f>
        <v>58.612400000000001</v>
      </c>
      <c r="G12" s="74">
        <f>1883206+33558</f>
        <v>1916764</v>
      </c>
      <c r="H12" s="45">
        <f t="shared" si="0"/>
        <v>2.5762956989247314</v>
      </c>
      <c r="I12" s="38">
        <f t="shared" si="1"/>
        <v>33.621662580645157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5" x14ac:dyDescent="0.3">
      <c r="A13" s="28">
        <v>9</v>
      </c>
      <c r="B13" s="14" t="s">
        <v>23</v>
      </c>
      <c r="C13" s="34">
        <v>2.6539999999999999</v>
      </c>
      <c r="D13" s="29">
        <v>70</v>
      </c>
      <c r="E13" s="56">
        <v>110</v>
      </c>
      <c r="F13" s="45">
        <f>265*1.73*110*0.8/1000</f>
        <v>40.343600000000009</v>
      </c>
      <c r="G13" s="74">
        <v>1351909</v>
      </c>
      <c r="H13" s="45">
        <f t="shared" si="0"/>
        <v>1.8170819892473118</v>
      </c>
      <c r="I13" s="38">
        <f t="shared" si="1"/>
        <v>23.115910806451616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5" x14ac:dyDescent="0.3">
      <c r="A14" s="28">
        <v>10</v>
      </c>
      <c r="B14" s="14" t="s">
        <v>24</v>
      </c>
      <c r="C14" s="34">
        <v>2.6539999999999999</v>
      </c>
      <c r="D14" s="29">
        <v>70</v>
      </c>
      <c r="E14" s="56">
        <v>110</v>
      </c>
      <c r="F14" s="45">
        <f>265*1.73*110*0.8/1000</f>
        <v>40.343600000000009</v>
      </c>
      <c r="G14" s="74">
        <v>1466555</v>
      </c>
      <c r="H14" s="45">
        <f t="shared" si="0"/>
        <v>1.9711760752688172</v>
      </c>
      <c r="I14" s="38">
        <f t="shared" si="1"/>
        <v>23.023454354838716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5" x14ac:dyDescent="0.3">
      <c r="A15" s="28">
        <v>11</v>
      </c>
      <c r="B15" s="14" t="s">
        <v>25</v>
      </c>
      <c r="C15" s="34">
        <v>3.42</v>
      </c>
      <c r="D15" s="29">
        <v>120</v>
      </c>
      <c r="E15" s="56">
        <v>110</v>
      </c>
      <c r="F15" s="45">
        <f>385*1.73*110*0.8/1000</f>
        <v>58.612400000000001</v>
      </c>
      <c r="G15" s="74">
        <v>6349473</v>
      </c>
      <c r="H15" s="45">
        <f t="shared" si="0"/>
        <v>8.5342379032258062</v>
      </c>
      <c r="I15" s="38">
        <f t="shared" si="1"/>
        <v>30.046897258064515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5" x14ac:dyDescent="0.3">
      <c r="A16" s="28">
        <v>12</v>
      </c>
      <c r="B16" s="14" t="s">
        <v>26</v>
      </c>
      <c r="C16" s="34">
        <v>10.029999999999999</v>
      </c>
      <c r="D16" s="29">
        <v>150</v>
      </c>
      <c r="E16" s="56">
        <v>110</v>
      </c>
      <c r="F16" s="45">
        <f>385*1.73*110*0.8/1000</f>
        <v>58.612400000000001</v>
      </c>
      <c r="G16" s="74">
        <v>1672387</v>
      </c>
      <c r="H16" s="45">
        <f t="shared" si="0"/>
        <v>2.2478319892473118</v>
      </c>
      <c r="I16" s="38">
        <f t="shared" si="1"/>
        <v>33.818740806451615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3">
      <c r="A17" s="28">
        <v>13</v>
      </c>
      <c r="B17" s="11" t="s">
        <v>32</v>
      </c>
      <c r="C17" s="58">
        <v>155.4</v>
      </c>
      <c r="D17" s="59">
        <v>120</v>
      </c>
      <c r="E17" s="56">
        <v>110</v>
      </c>
      <c r="F17" s="45">
        <f>385*1.73*110*0.64/1000</f>
        <v>46.889919999999996</v>
      </c>
      <c r="G17" s="74">
        <v>1518651</v>
      </c>
      <c r="H17" s="45">
        <f t="shared" si="0"/>
        <v>2.0411975806451612</v>
      </c>
      <c r="I17" s="38">
        <f t="shared" si="1"/>
        <v>26.909233451612902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28">
        <v>14</v>
      </c>
      <c r="B18" s="11" t="s">
        <v>33</v>
      </c>
      <c r="C18" s="60">
        <v>57</v>
      </c>
      <c r="D18" s="59">
        <v>95</v>
      </c>
      <c r="E18" s="56">
        <v>110</v>
      </c>
      <c r="F18" s="45">
        <f>330*1.73*110*0.7/1000</f>
        <v>43.959299999999999</v>
      </c>
      <c r="G18" s="74">
        <v>4485188</v>
      </c>
      <c r="H18" s="45">
        <f t="shared" si="0"/>
        <v>6.0284784946236556</v>
      </c>
      <c r="I18" s="38">
        <f t="shared" si="1"/>
        <v>22.758492903225804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28">
        <v>15</v>
      </c>
      <c r="B19" s="11" t="s">
        <v>34</v>
      </c>
      <c r="C19" s="58">
        <v>2.8</v>
      </c>
      <c r="D19" s="59">
        <v>300</v>
      </c>
      <c r="E19" s="56">
        <v>110</v>
      </c>
      <c r="F19" s="45">
        <f>585*1.73*110*0.64/1000</f>
        <v>71.248320000000007</v>
      </c>
      <c r="G19" s="74">
        <v>1792930</v>
      </c>
      <c r="H19" s="45">
        <f t="shared" si="0"/>
        <v>2.4098521505376342</v>
      </c>
      <c r="I19" s="38">
        <f t="shared" si="1"/>
        <v>41.303080709677424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28">
        <v>16</v>
      </c>
      <c r="B20" s="11" t="s">
        <v>35</v>
      </c>
      <c r="C20" s="58">
        <v>2.8</v>
      </c>
      <c r="D20" s="59">
        <v>300</v>
      </c>
      <c r="E20" s="56">
        <v>110</v>
      </c>
      <c r="F20" s="45">
        <f t="shared" ref="F20:F22" si="3">585*1.73*110*0.64/1000</f>
        <v>71.248320000000007</v>
      </c>
      <c r="G20" s="74">
        <v>9757308</v>
      </c>
      <c r="H20" s="45">
        <f t="shared" si="0"/>
        <v>13.114661290322582</v>
      </c>
      <c r="I20" s="38">
        <f t="shared" si="1"/>
        <v>34.880195225806453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28">
        <v>17</v>
      </c>
      <c r="B21" s="11" t="s">
        <v>36</v>
      </c>
      <c r="C21" s="58">
        <v>3.2</v>
      </c>
      <c r="D21" s="59">
        <v>300</v>
      </c>
      <c r="E21" s="56">
        <v>110</v>
      </c>
      <c r="F21" s="45">
        <f t="shared" si="3"/>
        <v>71.248320000000007</v>
      </c>
      <c r="G21" s="74">
        <v>2547706</v>
      </c>
      <c r="H21" s="45">
        <f t="shared" si="0"/>
        <v>3.4243360215053764</v>
      </c>
      <c r="I21" s="38">
        <f t="shared" si="1"/>
        <v>40.694390387096774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3">
      <c r="A22" s="28">
        <v>18</v>
      </c>
      <c r="B22" s="11" t="s">
        <v>37</v>
      </c>
      <c r="C22" s="58">
        <v>3.2</v>
      </c>
      <c r="D22" s="59">
        <v>300</v>
      </c>
      <c r="E22" s="56">
        <v>110</v>
      </c>
      <c r="F22" s="45">
        <f t="shared" si="3"/>
        <v>71.248320000000007</v>
      </c>
      <c r="G22" s="74">
        <v>15026114</v>
      </c>
      <c r="H22" s="45">
        <f t="shared" si="0"/>
        <v>20.196389784946238</v>
      </c>
      <c r="I22" s="38">
        <f t="shared" si="1"/>
        <v>30.631158129032261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6.2" x14ac:dyDescent="0.35">
      <c r="A23" s="28"/>
      <c r="B23" s="30" t="s">
        <v>4</v>
      </c>
      <c r="C23" s="61"/>
      <c r="D23" s="34"/>
      <c r="E23" s="34"/>
      <c r="F23" s="45"/>
      <c r="G23" s="74"/>
      <c r="H23" s="34"/>
      <c r="I23" s="3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3">
      <c r="A24" s="28">
        <v>19</v>
      </c>
      <c r="B24" s="32" t="s">
        <v>5</v>
      </c>
      <c r="C24" s="62">
        <v>4.5250000000000004</v>
      </c>
      <c r="D24" s="34">
        <v>70</v>
      </c>
      <c r="E24" s="34">
        <v>35</v>
      </c>
      <c r="F24" s="45">
        <v>13</v>
      </c>
      <c r="G24" s="74">
        <v>239658</v>
      </c>
      <c r="H24" s="46">
        <f t="shared" si="0"/>
        <v>0.32212096774193549</v>
      </c>
      <c r="I24" s="38">
        <f t="shared" ref="I24:I67" si="4">(F24-H24)*0.6</f>
        <v>7.6067274193548382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3">
      <c r="A25" s="13">
        <v>20</v>
      </c>
      <c r="B25" s="14" t="s">
        <v>38</v>
      </c>
      <c r="C25" s="63">
        <f>3.07+3.6</f>
        <v>6.67</v>
      </c>
      <c r="D25" s="64">
        <v>50</v>
      </c>
      <c r="E25" s="65">
        <v>35</v>
      </c>
      <c r="F25" s="10">
        <f>210*1.73*35*0.8/1000</f>
        <v>10.172400000000001</v>
      </c>
      <c r="G25" s="76">
        <v>989320</v>
      </c>
      <c r="H25" s="37">
        <f t="shared" si="0"/>
        <v>1.329731182795699</v>
      </c>
      <c r="I25" s="38">
        <f t="shared" si="4"/>
        <v>5.3056012903225813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28">
        <v>21</v>
      </c>
      <c r="B26" s="14" t="s">
        <v>6</v>
      </c>
      <c r="C26" s="63">
        <f>1.6+3.07+3.6</f>
        <v>8.27</v>
      </c>
      <c r="D26" s="34">
        <v>50</v>
      </c>
      <c r="E26" s="34">
        <v>35</v>
      </c>
      <c r="F26" s="45">
        <v>11</v>
      </c>
      <c r="G26" s="74">
        <v>393126</v>
      </c>
      <c r="H26" s="46">
        <f t="shared" si="0"/>
        <v>0.5283951612903226</v>
      </c>
      <c r="I26" s="38">
        <f t="shared" si="4"/>
        <v>6.2829629032258056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13">
        <v>22</v>
      </c>
      <c r="B27" s="33" t="s">
        <v>7</v>
      </c>
      <c r="C27" s="62">
        <v>6.4</v>
      </c>
      <c r="D27" s="34">
        <v>120</v>
      </c>
      <c r="E27" s="34">
        <v>35</v>
      </c>
      <c r="F27" s="45">
        <v>15</v>
      </c>
      <c r="G27" s="74">
        <v>862291</v>
      </c>
      <c r="H27" s="46">
        <f t="shared" si="0"/>
        <v>1.1589932795698923</v>
      </c>
      <c r="I27" s="38">
        <f t="shared" si="4"/>
        <v>8.3046040322580641</v>
      </c>
    </row>
    <row r="28" spans="1:23" x14ac:dyDescent="0.3">
      <c r="A28" s="28">
        <v>23</v>
      </c>
      <c r="B28" s="33" t="s">
        <v>8</v>
      </c>
      <c r="C28" s="62">
        <v>6.4</v>
      </c>
      <c r="D28" s="34">
        <v>120</v>
      </c>
      <c r="E28" s="34">
        <v>35</v>
      </c>
      <c r="F28" s="45">
        <v>15</v>
      </c>
      <c r="G28" s="74">
        <v>283030</v>
      </c>
      <c r="H28" s="46">
        <f t="shared" si="0"/>
        <v>0.38041666666666668</v>
      </c>
      <c r="I28" s="38">
        <f t="shared" si="4"/>
        <v>8.771749999999999</v>
      </c>
    </row>
    <row r="29" spans="1:23" x14ac:dyDescent="0.3">
      <c r="A29" s="13">
        <v>24</v>
      </c>
      <c r="B29" s="32" t="s">
        <v>9</v>
      </c>
      <c r="C29" s="62">
        <f>6.845+41.575</f>
        <v>48.42</v>
      </c>
      <c r="D29" s="34">
        <v>70</v>
      </c>
      <c r="E29" s="34">
        <v>35</v>
      </c>
      <c r="F29" s="47">
        <v>13</v>
      </c>
      <c r="G29" s="76">
        <v>3342784</v>
      </c>
      <c r="H29" s="37">
        <f t="shared" si="0"/>
        <v>4.4929892473118276</v>
      </c>
      <c r="I29" s="38">
        <f t="shared" si="4"/>
        <v>5.1042064516129031</v>
      </c>
    </row>
    <row r="30" spans="1:23" x14ac:dyDescent="0.3">
      <c r="A30" s="28">
        <v>25</v>
      </c>
      <c r="B30" s="32" t="s">
        <v>10</v>
      </c>
      <c r="C30" s="62">
        <f>3.15+31.975</f>
        <v>35.125</v>
      </c>
      <c r="D30" s="34">
        <v>70</v>
      </c>
      <c r="E30" s="34">
        <v>35</v>
      </c>
      <c r="F30" s="10">
        <f>270*1.73*35*0.8/1000</f>
        <v>13.078800000000001</v>
      </c>
      <c r="G30" s="53">
        <v>541794</v>
      </c>
      <c r="H30" s="46">
        <f t="shared" si="0"/>
        <v>0.72821774193548394</v>
      </c>
      <c r="I30" s="38">
        <f t="shared" si="4"/>
        <v>7.4103493548387096</v>
      </c>
    </row>
    <row r="31" spans="1:23" x14ac:dyDescent="0.3">
      <c r="A31" s="13">
        <v>26</v>
      </c>
      <c r="B31" s="14" t="s">
        <v>11</v>
      </c>
      <c r="C31" s="62">
        <v>7.1779999999999999</v>
      </c>
      <c r="D31" s="34">
        <v>95</v>
      </c>
      <c r="E31" s="34">
        <v>35</v>
      </c>
      <c r="F31" s="10">
        <f>325*1.73*35*0.8/1000</f>
        <v>15.743</v>
      </c>
      <c r="G31" s="53">
        <v>0</v>
      </c>
      <c r="H31" s="46">
        <f t="shared" si="0"/>
        <v>0</v>
      </c>
      <c r="I31" s="38">
        <f t="shared" si="4"/>
        <v>9.4458000000000002</v>
      </c>
    </row>
    <row r="32" spans="1:23" x14ac:dyDescent="0.3">
      <c r="A32" s="28">
        <v>27</v>
      </c>
      <c r="B32" s="14" t="s">
        <v>12</v>
      </c>
      <c r="C32" s="62">
        <v>7.1779999999999999</v>
      </c>
      <c r="D32" s="34">
        <v>95</v>
      </c>
      <c r="E32" s="34">
        <v>35</v>
      </c>
      <c r="F32" s="10">
        <f>325*1.73*35*0.8/1000</f>
        <v>15.743</v>
      </c>
      <c r="G32" s="53">
        <v>1802552</v>
      </c>
      <c r="H32" s="46">
        <f t="shared" si="0"/>
        <v>2.4227849462365594</v>
      </c>
      <c r="I32" s="38">
        <f t="shared" si="4"/>
        <v>7.992129032258064</v>
      </c>
    </row>
    <row r="33" spans="1:23" x14ac:dyDescent="0.3">
      <c r="A33" s="13">
        <v>28</v>
      </c>
      <c r="B33" s="14" t="s">
        <v>13</v>
      </c>
      <c r="C33" s="62">
        <v>2.0779999999999998</v>
      </c>
      <c r="D33" s="34">
        <v>95</v>
      </c>
      <c r="E33" s="34">
        <v>35</v>
      </c>
      <c r="F33" s="10">
        <v>15</v>
      </c>
      <c r="G33" s="53">
        <v>1093882</v>
      </c>
      <c r="H33" s="37">
        <f t="shared" si="0"/>
        <v>1.470271505376344</v>
      </c>
      <c r="I33" s="38">
        <f t="shared" si="4"/>
        <v>8.1178370967741937</v>
      </c>
    </row>
    <row r="34" spans="1:23" x14ac:dyDescent="0.3">
      <c r="A34" s="28">
        <v>29</v>
      </c>
      <c r="B34" s="14" t="s">
        <v>39</v>
      </c>
      <c r="C34" s="62">
        <v>2.0779999999999998</v>
      </c>
      <c r="D34" s="64">
        <v>95</v>
      </c>
      <c r="E34" s="34">
        <v>35</v>
      </c>
      <c r="F34" s="10">
        <f t="shared" ref="F34" si="5">325*1.73*35*0.8/1000</f>
        <v>15.743</v>
      </c>
      <c r="G34" s="53">
        <v>2034950</v>
      </c>
      <c r="H34" s="46">
        <f t="shared" si="0"/>
        <v>2.7351478494623658</v>
      </c>
      <c r="I34" s="38">
        <f t="shared" si="4"/>
        <v>7.8047112903225795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28">
        <v>31</v>
      </c>
      <c r="B35" s="14" t="s">
        <v>40</v>
      </c>
      <c r="C35" s="66">
        <v>4.2</v>
      </c>
      <c r="D35" s="64">
        <v>95</v>
      </c>
      <c r="E35" s="34">
        <v>35</v>
      </c>
      <c r="F35" s="10">
        <f>325*1.73*35*0.8/1000</f>
        <v>15.743</v>
      </c>
      <c r="G35" s="53">
        <v>3761919</v>
      </c>
      <c r="H35" s="46">
        <f t="shared" si="0"/>
        <v>5.0563427419354836</v>
      </c>
      <c r="I35" s="38">
        <f t="shared" si="4"/>
        <v>6.4119943548387104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13">
        <v>32</v>
      </c>
      <c r="B36" s="14" t="s">
        <v>41</v>
      </c>
      <c r="C36" s="63">
        <v>4.32</v>
      </c>
      <c r="D36" s="64">
        <v>70</v>
      </c>
      <c r="E36" s="34">
        <v>35</v>
      </c>
      <c r="F36" s="10">
        <f>270*1.73*35*0.8/1000</f>
        <v>13.078800000000001</v>
      </c>
      <c r="G36" s="53">
        <v>382272</v>
      </c>
      <c r="H36" s="37">
        <f t="shared" si="0"/>
        <v>0.51380645161290317</v>
      </c>
      <c r="I36" s="38">
        <f t="shared" si="4"/>
        <v>7.5389961290322587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28">
        <v>33</v>
      </c>
      <c r="B37" s="14" t="s">
        <v>42</v>
      </c>
      <c r="C37" s="67">
        <v>9.6</v>
      </c>
      <c r="D37" s="64">
        <v>120</v>
      </c>
      <c r="E37" s="34">
        <v>35</v>
      </c>
      <c r="F37" s="10">
        <f>385*1.73*35*0.7/1000</f>
        <v>16.318224999999998</v>
      </c>
      <c r="G37" s="53">
        <v>446510</v>
      </c>
      <c r="H37" s="46">
        <f t="shared" si="0"/>
        <v>0.60014784946236555</v>
      </c>
      <c r="I37" s="38">
        <f t="shared" si="4"/>
        <v>9.4308462903225792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13">
        <v>34</v>
      </c>
      <c r="B38" s="15" t="s">
        <v>43</v>
      </c>
      <c r="C38" s="62">
        <v>8.2899999999999991</v>
      </c>
      <c r="D38" s="64">
        <v>120</v>
      </c>
      <c r="E38" s="34">
        <v>35</v>
      </c>
      <c r="F38" s="10">
        <f>385*1.73*35*0.66/1000</f>
        <v>15.385755000000001</v>
      </c>
      <c r="G38" s="53">
        <v>624700</v>
      </c>
      <c r="H38" s="46">
        <f t="shared" si="0"/>
        <v>0.83965053763440856</v>
      </c>
      <c r="I38" s="38">
        <f t="shared" si="4"/>
        <v>8.7276626774193549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3">
      <c r="A39" s="28">
        <v>35</v>
      </c>
      <c r="B39" s="15" t="s">
        <v>44</v>
      </c>
      <c r="C39" s="62">
        <v>11.25</v>
      </c>
      <c r="D39" s="64">
        <v>95</v>
      </c>
      <c r="E39" s="34">
        <v>35</v>
      </c>
      <c r="F39" s="10">
        <f>385*1.73*35*0.64/1000</f>
        <v>14.91952</v>
      </c>
      <c r="G39" s="53">
        <v>5420802</v>
      </c>
      <c r="H39" s="46">
        <f t="shared" si="0"/>
        <v>7.2860241935483874</v>
      </c>
      <c r="I39" s="38">
        <f t="shared" si="4"/>
        <v>4.5800974838709676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3">
      <c r="A40" s="13">
        <v>36</v>
      </c>
      <c r="B40" s="15" t="s">
        <v>45</v>
      </c>
      <c r="C40" s="62">
        <v>12.5</v>
      </c>
      <c r="D40" s="64">
        <v>95</v>
      </c>
      <c r="E40" s="34">
        <v>35</v>
      </c>
      <c r="F40" s="10">
        <f>330*1.73*35*0.75/1000</f>
        <v>14.986124999999999</v>
      </c>
      <c r="G40" s="53">
        <v>3438533</v>
      </c>
      <c r="H40" s="37">
        <f t="shared" si="0"/>
        <v>4.6216841397849464</v>
      </c>
      <c r="I40" s="38">
        <f t="shared" si="4"/>
        <v>6.2186645161290315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3">
      <c r="A41" s="28">
        <v>37</v>
      </c>
      <c r="B41" s="14" t="s">
        <v>46</v>
      </c>
      <c r="C41" s="62">
        <v>25.777999999999999</v>
      </c>
      <c r="D41" s="64">
        <v>70</v>
      </c>
      <c r="E41" s="34">
        <v>35</v>
      </c>
      <c r="F41" s="10">
        <f>270*1.73*35*0.8/1000</f>
        <v>13.078800000000001</v>
      </c>
      <c r="G41" s="53">
        <v>543641</v>
      </c>
      <c r="H41" s="46">
        <f t="shared" si="0"/>
        <v>0.7307002688172044</v>
      </c>
      <c r="I41" s="38">
        <f t="shared" si="4"/>
        <v>7.4088598387096782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3">
      <c r="A42" s="13">
        <v>38</v>
      </c>
      <c r="B42" s="14" t="s">
        <v>47</v>
      </c>
      <c r="C42" s="62">
        <v>2.2280000000000002</v>
      </c>
      <c r="D42" s="64">
        <v>70</v>
      </c>
      <c r="E42" s="34">
        <v>35</v>
      </c>
      <c r="F42" s="10">
        <f>270*1.73*35*0.8/1000</f>
        <v>13.078800000000001</v>
      </c>
      <c r="G42" s="53">
        <v>2864</v>
      </c>
      <c r="H42" s="46">
        <f t="shared" si="0"/>
        <v>3.849462365591398E-3</v>
      </c>
      <c r="I42" s="38">
        <f t="shared" si="4"/>
        <v>7.8449703225806449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3">
      <c r="A43" s="28">
        <v>39</v>
      </c>
      <c r="B43" s="14" t="s">
        <v>48</v>
      </c>
      <c r="C43" s="62">
        <v>24.7</v>
      </c>
      <c r="D43" s="64">
        <v>35</v>
      </c>
      <c r="E43" s="34">
        <v>35</v>
      </c>
      <c r="F43" s="10">
        <f>175*1.73*35*0.8/1000</f>
        <v>8.4770000000000003</v>
      </c>
      <c r="G43" s="53">
        <v>105868</v>
      </c>
      <c r="H43" s="46">
        <f t="shared" si="0"/>
        <v>0.14229569892473118</v>
      </c>
      <c r="I43" s="38">
        <f t="shared" si="4"/>
        <v>5.0008225806451616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3">
      <c r="A44" s="13">
        <v>40</v>
      </c>
      <c r="B44" s="14" t="s">
        <v>49</v>
      </c>
      <c r="C44" s="67">
        <v>4.2</v>
      </c>
      <c r="D44" s="64">
        <v>95</v>
      </c>
      <c r="E44" s="34">
        <v>35</v>
      </c>
      <c r="F44" s="10">
        <f>270*1.73*35*0.8/1000</f>
        <v>13.078800000000001</v>
      </c>
      <c r="G44" s="53">
        <v>0</v>
      </c>
      <c r="H44" s="37">
        <f t="shared" si="0"/>
        <v>0</v>
      </c>
      <c r="I44" s="38">
        <f t="shared" si="4"/>
        <v>7.8472800000000005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3">
      <c r="A45" s="28">
        <v>41</v>
      </c>
      <c r="B45" s="14" t="s">
        <v>50</v>
      </c>
      <c r="C45" s="67">
        <v>44.09</v>
      </c>
      <c r="D45" s="64">
        <v>70</v>
      </c>
      <c r="E45" s="34">
        <v>35</v>
      </c>
      <c r="F45" s="10">
        <f>270*1.73*35*0.64/1000</f>
        <v>10.463040000000001</v>
      </c>
      <c r="G45" s="53">
        <v>178272</v>
      </c>
      <c r="H45" s="46">
        <f t="shared" si="0"/>
        <v>0.23961290322580647</v>
      </c>
      <c r="I45" s="38">
        <f t="shared" si="4"/>
        <v>6.1340562580645166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3">
      <c r="A46" s="13">
        <v>42</v>
      </c>
      <c r="B46" s="14" t="s">
        <v>51</v>
      </c>
      <c r="C46" s="67">
        <v>3.2</v>
      </c>
      <c r="D46" s="64">
        <v>70</v>
      </c>
      <c r="E46" s="34">
        <v>35</v>
      </c>
      <c r="F46" s="10">
        <f t="shared" ref="F46" si="6">270*1.73*35*0.8/1000</f>
        <v>13.078800000000001</v>
      </c>
      <c r="G46" s="53">
        <v>112560</v>
      </c>
      <c r="H46" s="46">
        <f t="shared" si="0"/>
        <v>0.15129032258064515</v>
      </c>
      <c r="I46" s="38">
        <f t="shared" si="4"/>
        <v>7.7565058064516137</v>
      </c>
    </row>
    <row r="47" spans="1:23" x14ac:dyDescent="0.3">
      <c r="A47" s="28">
        <v>43</v>
      </c>
      <c r="B47" s="15" t="s">
        <v>52</v>
      </c>
      <c r="C47" s="62">
        <v>5.25</v>
      </c>
      <c r="D47" s="64">
        <v>95</v>
      </c>
      <c r="E47" s="34">
        <v>35</v>
      </c>
      <c r="F47" s="10">
        <f>270*1.73*35*0.8/1000</f>
        <v>13.078800000000001</v>
      </c>
      <c r="G47" s="53">
        <v>1038528</v>
      </c>
      <c r="H47" s="46">
        <f t="shared" si="0"/>
        <v>1.3958709677419354</v>
      </c>
      <c r="I47" s="38">
        <f t="shared" si="4"/>
        <v>7.0097574193548393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3">
      <c r="A48" s="13">
        <v>44</v>
      </c>
      <c r="B48" s="15" t="s">
        <v>53</v>
      </c>
      <c r="C48" s="62">
        <f>5.25+4.15</f>
        <v>9.4</v>
      </c>
      <c r="D48" s="64">
        <v>50</v>
      </c>
      <c r="E48" s="34">
        <v>35</v>
      </c>
      <c r="F48" s="10">
        <f>210*1.73*35*0.8/1000</f>
        <v>10.172400000000001</v>
      </c>
      <c r="G48" s="53">
        <v>135648</v>
      </c>
      <c r="H48" s="37">
        <f t="shared" si="0"/>
        <v>0.18232258064516127</v>
      </c>
      <c r="I48" s="38">
        <f t="shared" si="4"/>
        <v>5.9940464516129035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3">
      <c r="A49" s="28">
        <v>45</v>
      </c>
      <c r="B49" s="15" t="s">
        <v>54</v>
      </c>
      <c r="C49" s="62">
        <v>4.96</v>
      </c>
      <c r="D49" s="64">
        <v>95</v>
      </c>
      <c r="E49" s="34">
        <v>35</v>
      </c>
      <c r="F49" s="10">
        <f t="shared" ref="F49:F50" si="7">325*1.73*35*0.8/1000</f>
        <v>15.743</v>
      </c>
      <c r="G49" s="53">
        <v>1306761</v>
      </c>
      <c r="H49" s="46">
        <f t="shared" si="0"/>
        <v>1.7563991935483871</v>
      </c>
      <c r="I49" s="38">
        <f t="shared" si="4"/>
        <v>8.3919604838709674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3">
      <c r="A50" s="13">
        <v>46</v>
      </c>
      <c r="B50" s="15" t="s">
        <v>55</v>
      </c>
      <c r="C50" s="62">
        <v>4.96</v>
      </c>
      <c r="D50" s="64">
        <v>95</v>
      </c>
      <c r="E50" s="34">
        <v>35</v>
      </c>
      <c r="F50" s="10">
        <f t="shared" si="7"/>
        <v>15.743</v>
      </c>
      <c r="G50" s="53">
        <v>1423428</v>
      </c>
      <c r="H50" s="46">
        <f t="shared" si="0"/>
        <v>1.9132096774193548</v>
      </c>
      <c r="I50" s="38">
        <f t="shared" si="4"/>
        <v>8.2978741935483864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3">
      <c r="A51" s="28">
        <v>47</v>
      </c>
      <c r="B51" s="14" t="s">
        <v>56</v>
      </c>
      <c r="C51" s="62">
        <v>1.8</v>
      </c>
      <c r="D51" s="64">
        <v>70</v>
      </c>
      <c r="E51" s="34">
        <v>35</v>
      </c>
      <c r="F51" s="10">
        <f t="shared" ref="F51:F55" si="8">270*1.73*35*0.8/1000</f>
        <v>13.078800000000001</v>
      </c>
      <c r="G51" s="53">
        <v>43200</v>
      </c>
      <c r="H51" s="46">
        <f t="shared" si="0"/>
        <v>5.8064516129032254E-2</v>
      </c>
      <c r="I51" s="38">
        <f t="shared" si="4"/>
        <v>7.8124412903225808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3">
      <c r="A52" s="13">
        <v>48</v>
      </c>
      <c r="B52" s="11" t="s">
        <v>57</v>
      </c>
      <c r="C52" s="68">
        <v>71.8</v>
      </c>
      <c r="D52" s="59">
        <v>95</v>
      </c>
      <c r="E52" s="34">
        <v>35</v>
      </c>
      <c r="F52" s="10">
        <f t="shared" si="8"/>
        <v>13.078800000000001</v>
      </c>
      <c r="G52" s="53">
        <v>387471</v>
      </c>
      <c r="H52" s="37">
        <f t="shared" si="0"/>
        <v>0.52079435483870962</v>
      </c>
      <c r="I52" s="38">
        <f t="shared" si="4"/>
        <v>7.5348033870967743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3">
      <c r="A53" s="28">
        <v>49</v>
      </c>
      <c r="B53" s="11" t="s">
        <v>58</v>
      </c>
      <c r="C53" s="68">
        <v>26</v>
      </c>
      <c r="D53" s="59">
        <v>95</v>
      </c>
      <c r="E53" s="34">
        <v>35</v>
      </c>
      <c r="F53" s="10">
        <f t="shared" si="8"/>
        <v>13.078800000000001</v>
      </c>
      <c r="G53" s="53">
        <v>188650</v>
      </c>
      <c r="H53" s="46">
        <f t="shared" si="0"/>
        <v>0.25356182795698923</v>
      </c>
      <c r="I53" s="38">
        <f t="shared" si="4"/>
        <v>7.6951429032258067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3">
      <c r="A54" s="13">
        <v>50</v>
      </c>
      <c r="B54" s="11" t="s">
        <v>59</v>
      </c>
      <c r="C54" s="68">
        <v>3.1</v>
      </c>
      <c r="D54" s="59">
        <v>95</v>
      </c>
      <c r="E54" s="34">
        <v>35</v>
      </c>
      <c r="F54" s="10">
        <f t="shared" si="8"/>
        <v>13.078800000000001</v>
      </c>
      <c r="G54" s="53">
        <v>2626540</v>
      </c>
      <c r="H54" s="46">
        <f t="shared" si="0"/>
        <v>3.5302956989247312</v>
      </c>
      <c r="I54" s="38">
        <f t="shared" si="4"/>
        <v>5.7291025806451614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3">
      <c r="A55" s="28">
        <v>51</v>
      </c>
      <c r="B55" s="11" t="s">
        <v>60</v>
      </c>
      <c r="C55" s="68">
        <v>3.1</v>
      </c>
      <c r="D55" s="59">
        <v>95</v>
      </c>
      <c r="E55" s="34">
        <v>35</v>
      </c>
      <c r="F55" s="10">
        <f t="shared" si="8"/>
        <v>13.078800000000001</v>
      </c>
      <c r="G55" s="53">
        <v>232540</v>
      </c>
      <c r="H55" s="46">
        <f t="shared" si="0"/>
        <v>0.31255376344086022</v>
      </c>
      <c r="I55" s="38">
        <f t="shared" si="4"/>
        <v>7.659747741935484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3">
      <c r="A56" s="13">
        <v>52</v>
      </c>
      <c r="B56" s="11" t="s">
        <v>61</v>
      </c>
      <c r="C56" s="68">
        <v>3.2</v>
      </c>
      <c r="D56" s="59">
        <v>120</v>
      </c>
      <c r="E56" s="34">
        <v>35</v>
      </c>
      <c r="F56" s="10">
        <f t="shared" ref="F56:F57" si="9">385*1.73*35*0.7/1000</f>
        <v>16.318224999999998</v>
      </c>
      <c r="G56" s="53">
        <v>614740</v>
      </c>
      <c r="H56" s="37">
        <f t="shared" si="0"/>
        <v>0.82626344086021508</v>
      </c>
      <c r="I56" s="38">
        <f t="shared" si="4"/>
        <v>9.2951769354838696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3">
      <c r="A57" s="28">
        <v>53</v>
      </c>
      <c r="B57" s="11" t="s">
        <v>62</v>
      </c>
      <c r="C57" s="68">
        <v>3.2</v>
      </c>
      <c r="D57" s="59">
        <v>120</v>
      </c>
      <c r="E57" s="34">
        <v>35</v>
      </c>
      <c r="F57" s="10">
        <f t="shared" si="9"/>
        <v>16.318224999999998</v>
      </c>
      <c r="G57" s="53">
        <v>12740</v>
      </c>
      <c r="H57" s="46">
        <f t="shared" si="0"/>
        <v>1.7123655913978495E-2</v>
      </c>
      <c r="I57" s="38">
        <f t="shared" si="4"/>
        <v>9.7806608064516123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3">
      <c r="A58" s="13">
        <v>54</v>
      </c>
      <c r="B58" s="11" t="s">
        <v>63</v>
      </c>
      <c r="C58" s="68">
        <v>64.2</v>
      </c>
      <c r="D58" s="59">
        <v>95</v>
      </c>
      <c r="E58" s="34">
        <v>35</v>
      </c>
      <c r="F58" s="10">
        <f>270*1.73*35*0.64/1000</f>
        <v>10.463040000000001</v>
      </c>
      <c r="G58" s="53">
        <v>592108</v>
      </c>
      <c r="H58" s="46">
        <f t="shared" si="0"/>
        <v>0.79584408602150536</v>
      </c>
      <c r="I58" s="38">
        <f t="shared" si="4"/>
        <v>5.8003175483870972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3">
      <c r="A59" s="28">
        <v>55</v>
      </c>
      <c r="B59" s="11" t="s">
        <v>64</v>
      </c>
      <c r="C59" s="68">
        <v>3.2</v>
      </c>
      <c r="D59" s="59">
        <v>300</v>
      </c>
      <c r="E59" s="34">
        <v>35</v>
      </c>
      <c r="F59" s="10">
        <f>680*1.73*35*0.64/1000</f>
        <v>26.35136</v>
      </c>
      <c r="G59" s="53">
        <v>10232497</v>
      </c>
      <c r="H59" s="46">
        <f t="shared" si="0"/>
        <v>13.753356182795699</v>
      </c>
      <c r="I59" s="38">
        <f t="shared" si="4"/>
        <v>7.5588022903225802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3">
      <c r="A60" s="13">
        <v>56</v>
      </c>
      <c r="B60" s="11" t="s">
        <v>65</v>
      </c>
      <c r="C60" s="68">
        <v>3.2</v>
      </c>
      <c r="D60" s="59">
        <v>300</v>
      </c>
      <c r="E60" s="34">
        <v>35</v>
      </c>
      <c r="F60" s="10">
        <f>680*1.73*35*0.64/1000</f>
        <v>26.35136</v>
      </c>
      <c r="G60" s="53">
        <v>9241562</v>
      </c>
      <c r="H60" s="37">
        <f t="shared" si="0"/>
        <v>12.42145430107527</v>
      </c>
      <c r="I60" s="38">
        <f t="shared" si="4"/>
        <v>8.3579434193548376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3">
      <c r="A61" s="28">
        <v>57</v>
      </c>
      <c r="B61" s="11" t="s">
        <v>66</v>
      </c>
      <c r="C61" s="68">
        <v>14.26</v>
      </c>
      <c r="D61" s="59">
        <v>120</v>
      </c>
      <c r="E61" s="34">
        <v>35</v>
      </c>
      <c r="F61" s="10">
        <f>375*1.73*35*0.65/1000</f>
        <v>14.759062500000001</v>
      </c>
      <c r="G61" s="53">
        <v>4369616</v>
      </c>
      <c r="H61" s="46">
        <f t="shared" si="0"/>
        <v>5.8731397849462361</v>
      </c>
      <c r="I61" s="38">
        <f t="shared" si="4"/>
        <v>5.3315536290322587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3">
      <c r="A62" s="13">
        <v>58</v>
      </c>
      <c r="B62" s="11" t="s">
        <v>67</v>
      </c>
      <c r="C62" s="68">
        <v>14.26</v>
      </c>
      <c r="D62" s="59">
        <v>95</v>
      </c>
      <c r="E62" s="34">
        <v>35</v>
      </c>
      <c r="F62" s="10">
        <f>270*1.73*35*0.8/1000</f>
        <v>13.078800000000001</v>
      </c>
      <c r="G62" s="53">
        <v>3446939</v>
      </c>
      <c r="H62" s="46">
        <f t="shared" si="0"/>
        <v>4.6329825268817206</v>
      </c>
      <c r="I62" s="38">
        <f t="shared" si="4"/>
        <v>5.0674904838709685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3">
      <c r="A63" s="28">
        <v>59</v>
      </c>
      <c r="B63" s="11" t="s">
        <v>68</v>
      </c>
      <c r="C63" s="68">
        <v>17</v>
      </c>
      <c r="D63" s="59">
        <v>95</v>
      </c>
      <c r="E63" s="34">
        <v>35</v>
      </c>
      <c r="F63" s="10">
        <f>270*1.73*35*0.7/1000</f>
        <v>11.443949999999999</v>
      </c>
      <c r="G63" s="53">
        <v>3616250</v>
      </c>
      <c r="H63" s="46">
        <f t="shared" si="0"/>
        <v>4.860551075268817</v>
      </c>
      <c r="I63" s="38">
        <f t="shared" si="4"/>
        <v>3.9500393548387089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3">
      <c r="A64" s="13">
        <v>60</v>
      </c>
      <c r="B64" s="11" t="s">
        <v>69</v>
      </c>
      <c r="C64" s="68">
        <v>9.1310000000000002</v>
      </c>
      <c r="D64" s="59">
        <v>95</v>
      </c>
      <c r="E64" s="34">
        <v>35</v>
      </c>
      <c r="F64" s="10">
        <f>270*1.73*35*0.8/1000</f>
        <v>13.078800000000001</v>
      </c>
      <c r="G64" s="53">
        <v>3186696</v>
      </c>
      <c r="H64" s="37">
        <f t="shared" si="0"/>
        <v>4.2831935483870964</v>
      </c>
      <c r="I64" s="38">
        <f t="shared" si="4"/>
        <v>5.2773638709677426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3">
      <c r="A65" s="28">
        <v>61</v>
      </c>
      <c r="B65" s="11" t="s">
        <v>70</v>
      </c>
      <c r="C65" s="68">
        <v>8.5069999999999997</v>
      </c>
      <c r="D65" s="59">
        <v>120</v>
      </c>
      <c r="E65" s="34">
        <v>35</v>
      </c>
      <c r="F65" s="10">
        <f>385*1.73*35*0.65/1000</f>
        <v>15.152637500000001</v>
      </c>
      <c r="G65" s="53">
        <v>3270481</v>
      </c>
      <c r="H65" s="46">
        <f t="shared" si="0"/>
        <v>4.395807795698925</v>
      </c>
      <c r="I65" s="38">
        <f t="shared" si="4"/>
        <v>6.4540978225806453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3">
      <c r="A66" s="13">
        <v>62</v>
      </c>
      <c r="B66" s="11" t="s">
        <v>71</v>
      </c>
      <c r="C66" s="68">
        <v>22.26</v>
      </c>
      <c r="D66" s="59">
        <v>95</v>
      </c>
      <c r="E66" s="34">
        <v>35</v>
      </c>
      <c r="F66" s="10">
        <f>270*1.73*35*0.64/1000</f>
        <v>10.463040000000001</v>
      </c>
      <c r="G66" s="53">
        <v>3158224</v>
      </c>
      <c r="H66" s="46">
        <f>G66/744/1000</f>
        <v>4.2449247311827953</v>
      </c>
      <c r="I66" s="38">
        <f t="shared" si="4"/>
        <v>3.7308691612903235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3">
      <c r="A67" s="28">
        <v>63</v>
      </c>
      <c r="B67" s="16" t="s">
        <v>72</v>
      </c>
      <c r="C67" s="69">
        <v>39.26</v>
      </c>
      <c r="D67" s="53">
        <v>95</v>
      </c>
      <c r="E67" s="34">
        <v>35</v>
      </c>
      <c r="F67" s="10">
        <f>270*1.73*35*0.6/1000</f>
        <v>9.8091000000000008</v>
      </c>
      <c r="G67" s="53">
        <v>1312931</v>
      </c>
      <c r="H67" s="46">
        <f t="shared" si="0"/>
        <v>1.7646922043010753</v>
      </c>
      <c r="I67" s="38">
        <f t="shared" si="4"/>
        <v>4.8266446774193552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6.2" x14ac:dyDescent="0.35">
      <c r="A68" s="12"/>
      <c r="B68" s="17" t="s">
        <v>73</v>
      </c>
      <c r="C68" s="62"/>
      <c r="D68" s="64"/>
      <c r="E68" s="70"/>
      <c r="F68" s="48"/>
      <c r="G68" s="75"/>
      <c r="H68" s="49"/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3">
      <c r="A69" s="13">
        <v>64</v>
      </c>
      <c r="B69" s="14" t="s">
        <v>74</v>
      </c>
      <c r="C69" s="20">
        <v>0.3</v>
      </c>
      <c r="D69" s="21">
        <v>50</v>
      </c>
      <c r="E69" s="70">
        <v>6</v>
      </c>
      <c r="F69" s="10">
        <f>215*1.73*6*0.8/1000</f>
        <v>1.7853599999999998</v>
      </c>
      <c r="G69" s="53">
        <f>72+50616</f>
        <v>50688</v>
      </c>
      <c r="H69" s="50">
        <f t="shared" si="0"/>
        <v>6.8129032258064506E-2</v>
      </c>
      <c r="I69" s="38">
        <f t="shared" ref="I69:I132" si="10">(F69-H69)*0.6</f>
        <v>1.030338580645161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3">
      <c r="A70" s="13">
        <v>65</v>
      </c>
      <c r="B70" s="14" t="s">
        <v>75</v>
      </c>
      <c r="C70" s="62">
        <v>0.32</v>
      </c>
      <c r="D70" s="64">
        <v>50</v>
      </c>
      <c r="E70" s="70">
        <v>6</v>
      </c>
      <c r="F70" s="10">
        <f t="shared" ref="F70" si="11">215*1.73*6*0.8/1000</f>
        <v>1.7853599999999998</v>
      </c>
      <c r="G70" s="53">
        <v>31752</v>
      </c>
      <c r="H70" s="50">
        <f t="shared" ref="H70:H132" si="12">G70/744/1000</f>
        <v>4.2677419354838715E-2</v>
      </c>
      <c r="I70" s="38">
        <f t="shared" si="10"/>
        <v>1.0456095483870966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3">
      <c r="A71" s="13">
        <v>66</v>
      </c>
      <c r="B71" s="14" t="s">
        <v>76</v>
      </c>
      <c r="C71" s="62">
        <v>1.24</v>
      </c>
      <c r="D71" s="64">
        <v>50</v>
      </c>
      <c r="E71" s="70">
        <v>6</v>
      </c>
      <c r="F71" s="10">
        <f>210*1.73*6*0.8/1000</f>
        <v>1.7438400000000001</v>
      </c>
      <c r="G71" s="53">
        <v>0</v>
      </c>
      <c r="H71" s="50">
        <f t="shared" si="12"/>
        <v>0</v>
      </c>
      <c r="I71" s="38">
        <f t="shared" si="10"/>
        <v>1.0463039999999999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3">
      <c r="A72" s="13">
        <v>67</v>
      </c>
      <c r="B72" s="14" t="s">
        <v>77</v>
      </c>
      <c r="C72" s="62">
        <v>1.1499999999999999</v>
      </c>
      <c r="D72" s="64">
        <v>50</v>
      </c>
      <c r="E72" s="70">
        <v>6</v>
      </c>
      <c r="F72" s="10">
        <f>215*1.73*6*0.7/1000</f>
        <v>1.5621899999999997</v>
      </c>
      <c r="G72" s="53">
        <v>0</v>
      </c>
      <c r="H72" s="37">
        <f t="shared" si="12"/>
        <v>0</v>
      </c>
      <c r="I72" s="38">
        <f t="shared" si="10"/>
        <v>0.93731399999999976</v>
      </c>
    </row>
    <row r="73" spans="1:23" x14ac:dyDescent="0.3">
      <c r="A73" s="13">
        <v>68</v>
      </c>
      <c r="B73" s="14" t="s">
        <v>78</v>
      </c>
      <c r="C73" s="62">
        <v>1.1200000000000001</v>
      </c>
      <c r="D73" s="64">
        <v>70</v>
      </c>
      <c r="E73" s="70">
        <v>6</v>
      </c>
      <c r="F73" s="10">
        <f>265*1.73*6*0.8/1000</f>
        <v>2.2005599999999998</v>
      </c>
      <c r="G73" s="53">
        <v>1692</v>
      </c>
      <c r="H73" s="50">
        <f t="shared" si="12"/>
        <v>2.2741935483870969E-3</v>
      </c>
      <c r="I73" s="38">
        <f t="shared" si="10"/>
        <v>1.3189714838709676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3">
      <c r="A74" s="13">
        <v>69</v>
      </c>
      <c r="B74" s="14" t="s">
        <v>79</v>
      </c>
      <c r="C74" s="62">
        <v>2.573</v>
      </c>
      <c r="D74" s="64">
        <v>50</v>
      </c>
      <c r="E74" s="70">
        <v>6</v>
      </c>
      <c r="F74" s="10">
        <f>215*1.73*6*0.7/1000</f>
        <v>1.5621899999999997</v>
      </c>
      <c r="G74" s="53">
        <v>34884</v>
      </c>
      <c r="H74" s="50">
        <f t="shared" si="12"/>
        <v>4.6887096774193553E-2</v>
      </c>
      <c r="I74" s="38">
        <f t="shared" si="10"/>
        <v>0.90918174193548373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3">
      <c r="A75" s="13">
        <v>70</v>
      </c>
      <c r="B75" s="14" t="s">
        <v>80</v>
      </c>
      <c r="C75" s="62">
        <v>3.323</v>
      </c>
      <c r="D75" s="64">
        <v>35</v>
      </c>
      <c r="E75" s="70">
        <v>6</v>
      </c>
      <c r="F75" s="10">
        <f>175*1.73*6*0.65/1000</f>
        <v>1.1807250000000002</v>
      </c>
      <c r="G75" s="53" t="s">
        <v>183</v>
      </c>
      <c r="H75" s="50" t="e">
        <f t="shared" si="12"/>
        <v>#VALUE!</v>
      </c>
      <c r="I75" s="38" t="e">
        <f t="shared" si="10"/>
        <v>#VALUE!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3">
      <c r="A76" s="13">
        <v>71</v>
      </c>
      <c r="B76" s="14" t="s">
        <v>81</v>
      </c>
      <c r="C76" s="62">
        <v>1.47</v>
      </c>
      <c r="D76" s="64">
        <v>35</v>
      </c>
      <c r="E76" s="70">
        <v>6</v>
      </c>
      <c r="F76" s="10">
        <f>175*1.73*6*0.7/1000</f>
        <v>1.27155</v>
      </c>
      <c r="G76" s="53">
        <v>60744</v>
      </c>
      <c r="H76" s="50">
        <f t="shared" si="12"/>
        <v>8.1645161290322579E-2</v>
      </c>
      <c r="I76" s="38">
        <f t="shared" si="10"/>
        <v>0.71394290322580634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3">
      <c r="A77" s="13">
        <v>72</v>
      </c>
      <c r="B77" s="14" t="s">
        <v>82</v>
      </c>
      <c r="C77" s="62">
        <v>6.88</v>
      </c>
      <c r="D77" s="64">
        <v>50</v>
      </c>
      <c r="E77" s="70">
        <v>6</v>
      </c>
      <c r="F77" s="10">
        <f>215*1.73*6*0.64/1000</f>
        <v>1.428288</v>
      </c>
      <c r="G77" s="53">
        <v>30168</v>
      </c>
      <c r="H77" s="50">
        <f t="shared" si="12"/>
        <v>4.0548387096774191E-2</v>
      </c>
      <c r="I77" s="38">
        <f t="shared" si="10"/>
        <v>0.83264376774193549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3">
      <c r="A78" s="13">
        <v>73</v>
      </c>
      <c r="B78" s="14" t="s">
        <v>83</v>
      </c>
      <c r="C78" s="62">
        <v>0.54</v>
      </c>
      <c r="D78" s="64">
        <v>95</v>
      </c>
      <c r="E78" s="70">
        <v>6</v>
      </c>
      <c r="F78" s="10">
        <f>325*1.73*6*0.8/1000</f>
        <v>2.6988000000000003</v>
      </c>
      <c r="G78" s="53">
        <v>0</v>
      </c>
      <c r="H78" s="50">
        <f t="shared" si="12"/>
        <v>0</v>
      </c>
      <c r="I78" s="38">
        <f t="shared" si="10"/>
        <v>1.6192800000000001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3">
      <c r="A79" s="13">
        <v>74</v>
      </c>
      <c r="B79" s="14" t="s">
        <v>84</v>
      </c>
      <c r="C79" s="62">
        <v>1.7</v>
      </c>
      <c r="D79" s="64">
        <v>70</v>
      </c>
      <c r="E79" s="70">
        <v>6</v>
      </c>
      <c r="F79" s="10">
        <f>265*1.73*6*0.8/1000</f>
        <v>2.2005599999999998</v>
      </c>
      <c r="G79" s="53">
        <v>0</v>
      </c>
      <c r="H79" s="50">
        <f t="shared" si="12"/>
        <v>0</v>
      </c>
      <c r="I79" s="38">
        <f t="shared" si="10"/>
        <v>1.320336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3">
      <c r="A80" s="13">
        <v>75</v>
      </c>
      <c r="B80" s="14" t="s">
        <v>85</v>
      </c>
      <c r="C80" s="62">
        <v>0.3</v>
      </c>
      <c r="D80" s="64">
        <v>95</v>
      </c>
      <c r="E80" s="70">
        <v>6</v>
      </c>
      <c r="F80" s="10">
        <f t="shared" ref="F80:F81" si="13">325*1.73*6*0.8/1000</f>
        <v>2.6988000000000003</v>
      </c>
      <c r="G80" s="53">
        <v>882</v>
      </c>
      <c r="H80" s="50">
        <f t="shared" si="12"/>
        <v>1.1854838709677419E-3</v>
      </c>
      <c r="I80" s="38">
        <f t="shared" si="10"/>
        <v>1.6185687096774195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">
      <c r="A81" s="13">
        <v>76</v>
      </c>
      <c r="B81" s="14" t="s">
        <v>86</v>
      </c>
      <c r="C81" s="62">
        <v>1.5</v>
      </c>
      <c r="D81" s="64">
        <v>95</v>
      </c>
      <c r="E81" s="70">
        <v>6</v>
      </c>
      <c r="F81" s="10">
        <f t="shared" si="13"/>
        <v>2.6988000000000003</v>
      </c>
      <c r="G81" s="53">
        <v>288</v>
      </c>
      <c r="H81" s="51">
        <f t="shared" si="12"/>
        <v>3.8709677419354838E-4</v>
      </c>
      <c r="I81" s="38">
        <f t="shared" si="10"/>
        <v>1.6190477419354841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3">
      <c r="A82" s="13">
        <v>77</v>
      </c>
      <c r="B82" s="14" t="s">
        <v>87</v>
      </c>
      <c r="C82" s="62">
        <v>2</v>
      </c>
      <c r="D82" s="64">
        <v>70</v>
      </c>
      <c r="E82" s="70">
        <v>6</v>
      </c>
      <c r="F82" s="10">
        <f t="shared" ref="F82:F83" si="14">265*1.73*6*0.8/1000</f>
        <v>2.2005599999999998</v>
      </c>
      <c r="G82" s="53">
        <v>37944</v>
      </c>
      <c r="H82" s="37">
        <f t="shared" si="12"/>
        <v>5.0999999999999997E-2</v>
      </c>
      <c r="I82" s="38">
        <f t="shared" si="10"/>
        <v>1.2897359999999998</v>
      </c>
    </row>
    <row r="83" spans="1:23" x14ac:dyDescent="0.3">
      <c r="A83" s="13">
        <v>78</v>
      </c>
      <c r="B83" s="14" t="s">
        <v>88</v>
      </c>
      <c r="C83" s="62">
        <v>0.6</v>
      </c>
      <c r="D83" s="64">
        <v>70</v>
      </c>
      <c r="E83" s="70">
        <v>6</v>
      </c>
      <c r="F83" s="10">
        <f t="shared" si="14"/>
        <v>2.2005599999999998</v>
      </c>
      <c r="G83" s="53">
        <v>228600</v>
      </c>
      <c r="H83" s="37">
        <f t="shared" si="12"/>
        <v>0.30725806451612903</v>
      </c>
      <c r="I83" s="38">
        <f t="shared" si="10"/>
        <v>1.1359811612903226</v>
      </c>
    </row>
    <row r="84" spans="1:23" x14ac:dyDescent="0.3">
      <c r="A84" s="13">
        <v>79</v>
      </c>
      <c r="B84" s="14" t="s">
        <v>89</v>
      </c>
      <c r="C84" s="62">
        <v>7.6</v>
      </c>
      <c r="D84" s="64">
        <v>70</v>
      </c>
      <c r="E84" s="70">
        <v>6</v>
      </c>
      <c r="F84" s="10">
        <f>265*1.73*6*0.6/1000</f>
        <v>1.6504199999999998</v>
      </c>
      <c r="G84" s="53">
        <v>76680</v>
      </c>
      <c r="H84" s="37">
        <f t="shared" si="12"/>
        <v>0.10306451612903225</v>
      </c>
      <c r="I84" s="38">
        <f t="shared" si="10"/>
        <v>0.92841329032258046</v>
      </c>
    </row>
    <row r="85" spans="1:23" x14ac:dyDescent="0.3">
      <c r="A85" s="13">
        <v>80</v>
      </c>
      <c r="B85" s="14" t="s">
        <v>90</v>
      </c>
      <c r="C85" s="63">
        <v>1.68</v>
      </c>
      <c r="D85" s="64">
        <v>50</v>
      </c>
      <c r="E85" s="70">
        <v>6</v>
      </c>
      <c r="F85" s="10">
        <f t="shared" ref="F85:F86" si="15">215*1.73*6*0.64/1000</f>
        <v>1.428288</v>
      </c>
      <c r="G85" s="53">
        <v>2583</v>
      </c>
      <c r="H85" s="37">
        <f t="shared" si="12"/>
        <v>3.4717741935483869E-3</v>
      </c>
      <c r="I85" s="38">
        <f t="shared" si="10"/>
        <v>0.85488973548387093</v>
      </c>
    </row>
    <row r="86" spans="1:23" x14ac:dyDescent="0.3">
      <c r="A86" s="13">
        <v>81</v>
      </c>
      <c r="B86" s="14" t="s">
        <v>91</v>
      </c>
      <c r="C86" s="63">
        <v>1.68</v>
      </c>
      <c r="D86" s="64">
        <v>50</v>
      </c>
      <c r="E86" s="70">
        <v>6</v>
      </c>
      <c r="F86" s="10">
        <f t="shared" si="15"/>
        <v>1.428288</v>
      </c>
      <c r="G86" s="53">
        <v>0</v>
      </c>
      <c r="H86" s="37">
        <f t="shared" si="12"/>
        <v>0</v>
      </c>
      <c r="I86" s="38">
        <f t="shared" si="10"/>
        <v>0.85697279999999998</v>
      </c>
    </row>
    <row r="87" spans="1:23" x14ac:dyDescent="0.3">
      <c r="A87" s="13">
        <v>82</v>
      </c>
      <c r="B87" s="18" t="s">
        <v>92</v>
      </c>
      <c r="C87" s="20">
        <v>1.1000000000000001</v>
      </c>
      <c r="D87" s="21">
        <v>95</v>
      </c>
      <c r="E87" s="70">
        <v>6</v>
      </c>
      <c r="F87" s="10">
        <f>325*1.73*6*0.75/1000</f>
        <v>2.530125</v>
      </c>
      <c r="G87" s="53">
        <v>1171296</v>
      </c>
      <c r="H87" s="37">
        <f t="shared" si="12"/>
        <v>1.5743225806451613</v>
      </c>
      <c r="I87" s="38">
        <f t="shared" si="10"/>
        <v>0.5734814516129032</v>
      </c>
    </row>
    <row r="88" spans="1:23" x14ac:dyDescent="0.3">
      <c r="A88" s="13">
        <v>83</v>
      </c>
      <c r="B88" s="18" t="s">
        <v>93</v>
      </c>
      <c r="C88" s="20">
        <v>1.1000000000000001</v>
      </c>
      <c r="D88" s="21">
        <v>95</v>
      </c>
      <c r="E88" s="70">
        <v>6</v>
      </c>
      <c r="F88" s="10">
        <f>325*1.73*6*0.75/1000</f>
        <v>2.530125</v>
      </c>
      <c r="G88" s="53">
        <v>41112</v>
      </c>
      <c r="H88" s="37">
        <f t="shared" si="12"/>
        <v>5.5258064516129031E-2</v>
      </c>
      <c r="I88" s="38">
        <f t="shared" si="10"/>
        <v>1.4849201612903224</v>
      </c>
    </row>
    <row r="89" spans="1:23" x14ac:dyDescent="0.3">
      <c r="A89" s="13">
        <v>84</v>
      </c>
      <c r="B89" s="14" t="s">
        <v>94</v>
      </c>
      <c r="C89" s="20">
        <v>3.7</v>
      </c>
      <c r="D89" s="21">
        <v>50</v>
      </c>
      <c r="E89" s="70">
        <v>6</v>
      </c>
      <c r="F89" s="10">
        <f>215*1.73*6*0.7/1000</f>
        <v>1.5621899999999997</v>
      </c>
      <c r="G89" s="53">
        <v>0</v>
      </c>
      <c r="H89" s="37">
        <f t="shared" si="12"/>
        <v>0</v>
      </c>
      <c r="I89" s="38">
        <f t="shared" si="10"/>
        <v>0.93731399999999976</v>
      </c>
    </row>
    <row r="90" spans="1:23" x14ac:dyDescent="0.3">
      <c r="A90" s="13">
        <v>85</v>
      </c>
      <c r="B90" s="14" t="s">
        <v>95</v>
      </c>
      <c r="C90" s="20">
        <v>3.48</v>
      </c>
      <c r="D90" s="21">
        <v>50</v>
      </c>
      <c r="E90" s="70">
        <v>6</v>
      </c>
      <c r="F90" s="10">
        <f>215*1.73*6*0.7/1000</f>
        <v>1.5621899999999997</v>
      </c>
      <c r="G90" s="53">
        <v>32544</v>
      </c>
      <c r="H90" s="50">
        <f t="shared" si="12"/>
        <v>4.3741935483870967E-2</v>
      </c>
      <c r="I90" s="38">
        <f t="shared" si="10"/>
        <v>0.91106883870967714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3">
      <c r="A91" s="13">
        <v>86</v>
      </c>
      <c r="B91" s="18" t="s">
        <v>162</v>
      </c>
      <c r="C91" s="20">
        <v>0.46</v>
      </c>
      <c r="D91" s="21">
        <v>50</v>
      </c>
      <c r="E91" s="70">
        <v>6</v>
      </c>
      <c r="F91" s="10">
        <f t="shared" ref="F91:F94" si="16">215*1.73*6*0.8/1000</f>
        <v>1.7853599999999998</v>
      </c>
      <c r="G91" s="53">
        <v>0</v>
      </c>
      <c r="H91" s="37">
        <f t="shared" si="12"/>
        <v>0</v>
      </c>
      <c r="I91" s="38">
        <f t="shared" si="10"/>
        <v>1.0712159999999999</v>
      </c>
    </row>
    <row r="92" spans="1:23" x14ac:dyDescent="0.3">
      <c r="A92" s="13">
        <v>87</v>
      </c>
      <c r="B92" s="18" t="s">
        <v>165</v>
      </c>
      <c r="C92" s="20">
        <v>0.46</v>
      </c>
      <c r="D92" s="21">
        <v>50</v>
      </c>
      <c r="E92" s="70">
        <v>6</v>
      </c>
      <c r="F92" s="10">
        <f t="shared" si="16"/>
        <v>1.7853599999999998</v>
      </c>
      <c r="G92" s="53">
        <v>125712</v>
      </c>
      <c r="H92" s="37">
        <f t="shared" si="12"/>
        <v>0.16896774193548386</v>
      </c>
      <c r="I92" s="38">
        <f t="shared" si="10"/>
        <v>0.96983535483870953</v>
      </c>
    </row>
    <row r="93" spans="1:23" x14ac:dyDescent="0.3">
      <c r="A93" s="13">
        <v>88</v>
      </c>
      <c r="B93" s="18" t="s">
        <v>163</v>
      </c>
      <c r="C93" s="20">
        <v>0.46</v>
      </c>
      <c r="D93" s="21">
        <v>50</v>
      </c>
      <c r="E93" s="70">
        <v>6</v>
      </c>
      <c r="F93" s="10">
        <f t="shared" si="16"/>
        <v>1.7853599999999998</v>
      </c>
      <c r="G93" s="53">
        <v>0</v>
      </c>
      <c r="H93" s="37">
        <f t="shared" si="12"/>
        <v>0</v>
      </c>
      <c r="I93" s="38">
        <f t="shared" si="10"/>
        <v>1.0712159999999999</v>
      </c>
    </row>
    <row r="94" spans="1:23" x14ac:dyDescent="0.3">
      <c r="A94" s="13">
        <v>89</v>
      </c>
      <c r="B94" s="18" t="s">
        <v>164</v>
      </c>
      <c r="C94" s="20">
        <v>0.46</v>
      </c>
      <c r="D94" s="21">
        <v>50</v>
      </c>
      <c r="E94" s="70">
        <v>6</v>
      </c>
      <c r="F94" s="10">
        <f t="shared" si="16"/>
        <v>1.7853599999999998</v>
      </c>
      <c r="G94" s="53">
        <v>127908</v>
      </c>
      <c r="H94" s="37">
        <f t="shared" si="12"/>
        <v>0.17191935483870965</v>
      </c>
      <c r="I94" s="38">
        <f t="shared" si="10"/>
        <v>0.968064387096774</v>
      </c>
    </row>
    <row r="95" spans="1:23" x14ac:dyDescent="0.3">
      <c r="A95" s="13">
        <v>90</v>
      </c>
      <c r="B95" s="14" t="s">
        <v>96</v>
      </c>
      <c r="C95" s="20">
        <v>1.22</v>
      </c>
      <c r="D95" s="21">
        <v>120</v>
      </c>
      <c r="E95" s="70">
        <v>6</v>
      </c>
      <c r="F95" s="10">
        <f>375*1.73*6*0.7/1000</f>
        <v>2.7247499999999998</v>
      </c>
      <c r="G95" s="53">
        <v>51682</v>
      </c>
      <c r="H95" s="37">
        <f t="shared" si="12"/>
        <v>6.9465053763440865E-2</v>
      </c>
      <c r="I95" s="38">
        <f t="shared" si="10"/>
        <v>1.5931709677419352</v>
      </c>
    </row>
    <row r="96" spans="1:23" x14ac:dyDescent="0.3">
      <c r="A96" s="13">
        <v>91</v>
      </c>
      <c r="B96" s="14" t="s">
        <v>97</v>
      </c>
      <c r="C96" s="20">
        <v>1.22</v>
      </c>
      <c r="D96" s="21">
        <v>120</v>
      </c>
      <c r="E96" s="70">
        <v>6</v>
      </c>
      <c r="F96" s="10">
        <f>375*1.73*6*0.7/1000</f>
        <v>2.7247499999999998</v>
      </c>
      <c r="G96" s="53">
        <v>679787</v>
      </c>
      <c r="H96" s="37">
        <f t="shared" si="12"/>
        <v>0.91369220430107534</v>
      </c>
      <c r="I96" s="38">
        <f t="shared" si="10"/>
        <v>1.0866346774193547</v>
      </c>
    </row>
    <row r="97" spans="1:23" x14ac:dyDescent="0.3">
      <c r="A97" s="13">
        <v>92</v>
      </c>
      <c r="B97" s="14" t="s">
        <v>98</v>
      </c>
      <c r="C97" s="63">
        <v>0.11600000000000001</v>
      </c>
      <c r="D97" s="64">
        <v>70</v>
      </c>
      <c r="E97" s="70">
        <v>6</v>
      </c>
      <c r="F97" s="10">
        <f t="shared" ref="F97:F98" si="17">265*1.73*6*0.8/1000</f>
        <v>2.2005599999999998</v>
      </c>
      <c r="G97" s="53">
        <v>4032</v>
      </c>
      <c r="H97" s="37">
        <f t="shared" si="12"/>
        <v>5.4193548387096767E-3</v>
      </c>
      <c r="I97" s="38">
        <f t="shared" si="10"/>
        <v>1.3170843870967739</v>
      </c>
    </row>
    <row r="98" spans="1:23" x14ac:dyDescent="0.3">
      <c r="A98" s="13">
        <v>93</v>
      </c>
      <c r="B98" s="14" t="s">
        <v>99</v>
      </c>
      <c r="C98" s="63">
        <v>0.11899999999999999</v>
      </c>
      <c r="D98" s="64">
        <v>70</v>
      </c>
      <c r="E98" s="70">
        <v>6</v>
      </c>
      <c r="F98" s="10">
        <f t="shared" si="17"/>
        <v>2.2005599999999998</v>
      </c>
      <c r="G98" s="53">
        <v>26460</v>
      </c>
      <c r="H98" s="37">
        <f t="shared" si="12"/>
        <v>3.5564516129032255E-2</v>
      </c>
      <c r="I98" s="38">
        <f t="shared" si="10"/>
        <v>1.2989972903225804</v>
      </c>
    </row>
    <row r="99" spans="1:23" x14ac:dyDescent="0.3">
      <c r="A99" s="13">
        <v>94</v>
      </c>
      <c r="B99" s="14" t="s">
        <v>100</v>
      </c>
      <c r="C99" s="20">
        <v>1.792</v>
      </c>
      <c r="D99" s="21">
        <v>95</v>
      </c>
      <c r="E99" s="70">
        <v>6</v>
      </c>
      <c r="F99" s="10">
        <f t="shared" ref="F99:F100" si="18">325*1.73*6*0.75/1000</f>
        <v>2.530125</v>
      </c>
      <c r="G99" s="53">
        <v>9624</v>
      </c>
      <c r="H99" s="37">
        <f t="shared" si="12"/>
        <v>1.2935483870967742E-2</v>
      </c>
      <c r="I99" s="38">
        <f t="shared" si="10"/>
        <v>1.5103137096774193</v>
      </c>
    </row>
    <row r="100" spans="1:23" x14ac:dyDescent="0.3">
      <c r="A100" s="13">
        <v>95</v>
      </c>
      <c r="B100" s="14" t="s">
        <v>101</v>
      </c>
      <c r="C100" s="20">
        <v>1.8</v>
      </c>
      <c r="D100" s="21">
        <v>95</v>
      </c>
      <c r="E100" s="70">
        <v>6</v>
      </c>
      <c r="F100" s="10">
        <f t="shared" si="18"/>
        <v>2.530125</v>
      </c>
      <c r="G100" s="53">
        <v>396054</v>
      </c>
      <c r="H100" s="37">
        <f t="shared" si="12"/>
        <v>0.53233064516129036</v>
      </c>
      <c r="I100" s="38">
        <f t="shared" si="10"/>
        <v>1.1986766129032258</v>
      </c>
    </row>
    <row r="101" spans="1:23" x14ac:dyDescent="0.3">
      <c r="A101" s="13">
        <v>96</v>
      </c>
      <c r="B101" s="14" t="s">
        <v>102</v>
      </c>
      <c r="C101" s="20">
        <v>0.8</v>
      </c>
      <c r="D101" s="21">
        <v>120</v>
      </c>
      <c r="E101" s="70">
        <v>6</v>
      </c>
      <c r="F101" s="10">
        <f>375*1.73*6*0.7/1000</f>
        <v>2.7247499999999998</v>
      </c>
      <c r="G101" s="53">
        <v>0</v>
      </c>
      <c r="H101" s="37">
        <f t="shared" si="12"/>
        <v>0</v>
      </c>
      <c r="I101" s="38">
        <f t="shared" si="10"/>
        <v>1.6348499999999999</v>
      </c>
    </row>
    <row r="102" spans="1:23" x14ac:dyDescent="0.3">
      <c r="A102" s="13">
        <v>97</v>
      </c>
      <c r="B102" s="14" t="s">
        <v>103</v>
      </c>
      <c r="C102" s="62">
        <v>5.51</v>
      </c>
      <c r="D102" s="64">
        <v>70</v>
      </c>
      <c r="E102" s="70">
        <v>6</v>
      </c>
      <c r="F102" s="10">
        <f>265*1.73*6*0.6/1000</f>
        <v>1.6504199999999998</v>
      </c>
      <c r="G102" s="53">
        <v>11808</v>
      </c>
      <c r="H102" s="50">
        <f t="shared" si="12"/>
        <v>1.5870967741935485E-2</v>
      </c>
      <c r="I102" s="38">
        <f t="shared" si="10"/>
        <v>0.98072941935483848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3">
      <c r="A103" s="13">
        <v>98</v>
      </c>
      <c r="B103" s="14" t="s">
        <v>104</v>
      </c>
      <c r="C103" s="62">
        <v>9.9499999999999993</v>
      </c>
      <c r="D103" s="64">
        <v>70</v>
      </c>
      <c r="E103" s="70">
        <v>6</v>
      </c>
      <c r="F103" s="10">
        <f>265*1.73*6*0.5/1000</f>
        <v>1.3753499999999999</v>
      </c>
      <c r="G103" s="53">
        <v>10584</v>
      </c>
      <c r="H103" s="37">
        <f t="shared" si="12"/>
        <v>1.4225806451612904E-2</v>
      </c>
      <c r="I103" s="38">
        <f t="shared" si="10"/>
        <v>0.81667451612903208</v>
      </c>
    </row>
    <row r="104" spans="1:23" x14ac:dyDescent="0.3">
      <c r="A104" s="13">
        <v>99</v>
      </c>
      <c r="B104" s="14" t="s">
        <v>105</v>
      </c>
      <c r="C104" s="20">
        <v>0.64500000000000002</v>
      </c>
      <c r="D104" s="64">
        <v>70</v>
      </c>
      <c r="E104" s="70">
        <v>6</v>
      </c>
      <c r="F104" s="10">
        <f t="shared" ref="F104" si="19">265*1.73*6*0.8/1000</f>
        <v>2.2005599999999998</v>
      </c>
      <c r="G104" s="53">
        <v>52032</v>
      </c>
      <c r="H104" s="37">
        <f t="shared" si="12"/>
        <v>6.9935483870967749E-2</v>
      </c>
      <c r="I104" s="38">
        <f t="shared" si="10"/>
        <v>1.2783747096774192</v>
      </c>
    </row>
    <row r="105" spans="1:23" x14ac:dyDescent="0.3">
      <c r="A105" s="13">
        <v>100</v>
      </c>
      <c r="B105" s="14" t="s">
        <v>106</v>
      </c>
      <c r="C105" s="20">
        <v>2.645</v>
      </c>
      <c r="D105" s="21">
        <v>120</v>
      </c>
      <c r="E105" s="70">
        <v>6</v>
      </c>
      <c r="F105" s="10">
        <f>375*1.73*6*0.65/1000</f>
        <v>2.530125</v>
      </c>
      <c r="G105" s="53">
        <v>471168</v>
      </c>
      <c r="H105" s="37">
        <f t="shared" si="12"/>
        <v>0.6332903225806451</v>
      </c>
      <c r="I105" s="38">
        <f t="shared" si="10"/>
        <v>1.1381008064516129</v>
      </c>
    </row>
    <row r="106" spans="1:23" x14ac:dyDescent="0.3">
      <c r="A106" s="13">
        <v>101</v>
      </c>
      <c r="B106" s="18" t="s">
        <v>107</v>
      </c>
      <c r="C106" s="20">
        <v>3.3</v>
      </c>
      <c r="D106" s="21">
        <v>70</v>
      </c>
      <c r="E106" s="70">
        <v>6</v>
      </c>
      <c r="F106" s="10">
        <f t="shared" ref="F106:F107" si="20">265*1.73*6*0.7/1000</f>
        <v>1.9254899999999997</v>
      </c>
      <c r="G106" s="53">
        <v>0</v>
      </c>
      <c r="H106" s="37">
        <f t="shared" si="12"/>
        <v>0</v>
      </c>
      <c r="I106" s="38">
        <f t="shared" si="10"/>
        <v>1.1552939999999998</v>
      </c>
    </row>
    <row r="107" spans="1:23" x14ac:dyDescent="0.3">
      <c r="A107" s="13">
        <v>102</v>
      </c>
      <c r="B107" s="18" t="s">
        <v>108</v>
      </c>
      <c r="C107" s="20">
        <v>3.3</v>
      </c>
      <c r="D107" s="21">
        <v>70</v>
      </c>
      <c r="E107" s="70">
        <v>6</v>
      </c>
      <c r="F107" s="10">
        <f t="shared" si="20"/>
        <v>1.9254899999999997</v>
      </c>
      <c r="G107" s="53">
        <v>135</v>
      </c>
      <c r="H107" s="37">
        <f t="shared" si="12"/>
        <v>1.8145161290322582E-4</v>
      </c>
      <c r="I107" s="38">
        <f t="shared" si="10"/>
        <v>1.1551851290322579</v>
      </c>
    </row>
    <row r="108" spans="1:23" x14ac:dyDescent="0.3">
      <c r="A108" s="13">
        <v>103</v>
      </c>
      <c r="B108" s="14" t="s">
        <v>109</v>
      </c>
      <c r="C108" s="67">
        <v>3.44</v>
      </c>
      <c r="D108" s="64">
        <v>35</v>
      </c>
      <c r="E108" s="70">
        <v>6</v>
      </c>
      <c r="F108" s="10">
        <f>175*1.73*6*0.8/1000</f>
        <v>1.4532</v>
      </c>
      <c r="G108" s="53">
        <v>46032</v>
      </c>
      <c r="H108" s="52">
        <f t="shared" si="12"/>
        <v>6.1870967741935477E-2</v>
      </c>
      <c r="I108" s="38">
        <f t="shared" si="10"/>
        <v>0.83479741935483864</v>
      </c>
    </row>
    <row r="109" spans="1:23" x14ac:dyDescent="0.3">
      <c r="A109" s="13">
        <v>104</v>
      </c>
      <c r="B109" s="14" t="s">
        <v>110</v>
      </c>
      <c r="C109" s="20">
        <v>1.875</v>
      </c>
      <c r="D109" s="21">
        <v>50</v>
      </c>
      <c r="E109" s="70">
        <v>6</v>
      </c>
      <c r="F109" s="10">
        <f t="shared" ref="F109:F110" si="21">215*1.73*6*0.8/1000</f>
        <v>1.7853599999999998</v>
      </c>
      <c r="G109" s="53">
        <v>41982</v>
      </c>
      <c r="H109" s="37">
        <f t="shared" si="12"/>
        <v>5.6427419354838713E-2</v>
      </c>
      <c r="I109" s="38">
        <f t="shared" si="10"/>
        <v>1.0373595483870968</v>
      </c>
    </row>
    <row r="110" spans="1:23" x14ac:dyDescent="0.3">
      <c r="A110" s="13">
        <v>105</v>
      </c>
      <c r="B110" s="14" t="s">
        <v>111</v>
      </c>
      <c r="C110" s="20">
        <v>0.377</v>
      </c>
      <c r="D110" s="21">
        <v>50</v>
      </c>
      <c r="E110" s="70">
        <v>6</v>
      </c>
      <c r="F110" s="10">
        <f t="shared" si="21"/>
        <v>1.7853599999999998</v>
      </c>
      <c r="G110" s="53">
        <v>0</v>
      </c>
      <c r="H110" s="50">
        <f t="shared" si="12"/>
        <v>0</v>
      </c>
      <c r="I110" s="38">
        <f t="shared" si="10"/>
        <v>1.0712159999999999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3">
      <c r="A111" s="13">
        <v>106</v>
      </c>
      <c r="B111" s="14" t="s">
        <v>112</v>
      </c>
      <c r="C111" s="62">
        <v>4.4379999999999997</v>
      </c>
      <c r="D111" s="64">
        <v>35</v>
      </c>
      <c r="E111" s="70">
        <v>6</v>
      </c>
      <c r="F111" s="10">
        <f>175*1.73*6*0.7/1000</f>
        <v>1.27155</v>
      </c>
      <c r="G111" s="53">
        <v>2693</v>
      </c>
      <c r="H111" s="37">
        <f t="shared" si="12"/>
        <v>3.6196236559139787E-3</v>
      </c>
      <c r="I111" s="38">
        <f t="shared" si="10"/>
        <v>0.76075822580645147</v>
      </c>
    </row>
    <row r="112" spans="1:23" x14ac:dyDescent="0.3">
      <c r="A112" s="13">
        <v>107</v>
      </c>
      <c r="B112" s="14" t="s">
        <v>113</v>
      </c>
      <c r="C112" s="63">
        <v>6.72</v>
      </c>
      <c r="D112" s="64">
        <v>35</v>
      </c>
      <c r="E112" s="70">
        <v>6</v>
      </c>
      <c r="F112" s="10">
        <f>175*1.73*6*0.64/1000</f>
        <v>1.16256</v>
      </c>
      <c r="G112" s="53">
        <v>0</v>
      </c>
      <c r="H112" s="50">
        <f t="shared" si="12"/>
        <v>0</v>
      </c>
      <c r="I112" s="38">
        <f t="shared" si="10"/>
        <v>0.69753600000000004</v>
      </c>
    </row>
    <row r="113" spans="1:9" x14ac:dyDescent="0.3">
      <c r="A113" s="13">
        <v>108</v>
      </c>
      <c r="B113" s="14" t="s">
        <v>170</v>
      </c>
      <c r="C113" s="20">
        <v>5.82</v>
      </c>
      <c r="D113" s="21">
        <v>35</v>
      </c>
      <c r="E113" s="70">
        <v>6</v>
      </c>
      <c r="F113" s="10">
        <f>175*1.73*6*0.7/1000</f>
        <v>1.27155</v>
      </c>
      <c r="G113" s="53">
        <v>0</v>
      </c>
      <c r="H113" s="37">
        <f t="shared" si="12"/>
        <v>0</v>
      </c>
      <c r="I113" s="38">
        <f t="shared" si="10"/>
        <v>0.76293</v>
      </c>
    </row>
    <row r="114" spans="1:9" x14ac:dyDescent="0.3">
      <c r="A114" s="13">
        <v>109</v>
      </c>
      <c r="B114" s="14" t="s">
        <v>114</v>
      </c>
      <c r="C114" s="67">
        <v>12.6</v>
      </c>
      <c r="D114" s="64">
        <v>50</v>
      </c>
      <c r="E114" s="70">
        <v>6</v>
      </c>
      <c r="F114" s="10">
        <f>215*1.73*6*0.5/1000</f>
        <v>1.11585</v>
      </c>
      <c r="G114" s="53">
        <v>6852</v>
      </c>
      <c r="H114" s="50">
        <f t="shared" si="12"/>
        <v>9.2096774193548385E-3</v>
      </c>
      <c r="I114" s="38">
        <f t="shared" si="10"/>
        <v>0.66398419354838711</v>
      </c>
    </row>
    <row r="115" spans="1:9" x14ac:dyDescent="0.3">
      <c r="A115" s="13">
        <v>110</v>
      </c>
      <c r="B115" s="14" t="s">
        <v>115</v>
      </c>
      <c r="C115" s="62">
        <v>2.5</v>
      </c>
      <c r="D115" s="64">
        <v>50</v>
      </c>
      <c r="E115" s="70">
        <v>6</v>
      </c>
      <c r="F115" s="10">
        <f t="shared" ref="F115" si="22">215*1.73*6*0.8/1000</f>
        <v>1.7853599999999998</v>
      </c>
      <c r="G115" s="53">
        <v>36612</v>
      </c>
      <c r="H115" s="37">
        <f t="shared" si="12"/>
        <v>4.9209677419354843E-2</v>
      </c>
      <c r="I115" s="38">
        <f t="shared" si="10"/>
        <v>1.0416901935483869</v>
      </c>
    </row>
    <row r="116" spans="1:9" x14ac:dyDescent="0.3">
      <c r="A116" s="13">
        <v>111</v>
      </c>
      <c r="B116" s="14" t="s">
        <v>116</v>
      </c>
      <c r="C116" s="20">
        <v>8</v>
      </c>
      <c r="D116" s="21">
        <v>35</v>
      </c>
      <c r="E116" s="70">
        <v>6</v>
      </c>
      <c r="F116" s="10">
        <f t="shared" ref="F116" si="23">175*1.73*6*0.8/1000</f>
        <v>1.4532</v>
      </c>
      <c r="G116" s="53">
        <v>330624</v>
      </c>
      <c r="H116" s="50">
        <f t="shared" si="12"/>
        <v>0.44438709677419352</v>
      </c>
      <c r="I116" s="38">
        <f t="shared" si="10"/>
        <v>0.60528774193548385</v>
      </c>
    </row>
    <row r="117" spans="1:9" x14ac:dyDescent="0.3">
      <c r="A117" s="13">
        <v>112</v>
      </c>
      <c r="B117" s="14" t="s">
        <v>117</v>
      </c>
      <c r="C117" s="67">
        <v>4.2619999999999996</v>
      </c>
      <c r="D117" s="64">
        <v>35</v>
      </c>
      <c r="E117" s="70">
        <v>6</v>
      </c>
      <c r="F117" s="10">
        <f>175*1.73*6*0.64/1000</f>
        <v>1.16256</v>
      </c>
      <c r="G117" s="53">
        <v>1790</v>
      </c>
      <c r="H117" s="37">
        <f t="shared" si="12"/>
        <v>2.4059139784946234E-3</v>
      </c>
      <c r="I117" s="38">
        <f t="shared" si="10"/>
        <v>0.69609245161290323</v>
      </c>
    </row>
    <row r="118" spans="1:9" x14ac:dyDescent="0.3">
      <c r="A118" s="13">
        <v>113</v>
      </c>
      <c r="B118" s="11" t="s">
        <v>118</v>
      </c>
      <c r="C118" s="71">
        <v>1.034</v>
      </c>
      <c r="D118" s="59">
        <v>50</v>
      </c>
      <c r="E118" s="70">
        <v>6</v>
      </c>
      <c r="F118" s="10">
        <v>1.7853599999999998</v>
      </c>
      <c r="G118" s="53">
        <v>6096</v>
      </c>
      <c r="H118" s="50">
        <f t="shared" si="12"/>
        <v>8.1935483870967732E-3</v>
      </c>
      <c r="I118" s="38">
        <f t="shared" si="10"/>
        <v>1.0662998709677418</v>
      </c>
    </row>
    <row r="119" spans="1:9" x14ac:dyDescent="0.3">
      <c r="A119" s="13">
        <v>114</v>
      </c>
      <c r="B119" s="11" t="s">
        <v>119</v>
      </c>
      <c r="C119" s="71">
        <v>1.5</v>
      </c>
      <c r="D119" s="59">
        <v>70</v>
      </c>
      <c r="E119" s="70">
        <v>6</v>
      </c>
      <c r="F119" s="10">
        <f t="shared" ref="F119:F120" si="24">265*1.73*6*0.7/1000</f>
        <v>1.9254899999999997</v>
      </c>
      <c r="G119" s="53">
        <v>4475</v>
      </c>
      <c r="H119" s="37">
        <f t="shared" si="12"/>
        <v>6.0147849462365592E-3</v>
      </c>
      <c r="I119" s="38">
        <f t="shared" si="10"/>
        <v>1.1516851290322578</v>
      </c>
    </row>
    <row r="120" spans="1:9" x14ac:dyDescent="0.3">
      <c r="A120" s="13">
        <v>115</v>
      </c>
      <c r="B120" s="11" t="s">
        <v>120</v>
      </c>
      <c r="C120" s="71">
        <v>1.5</v>
      </c>
      <c r="D120" s="59">
        <v>70</v>
      </c>
      <c r="E120" s="70">
        <v>6</v>
      </c>
      <c r="F120" s="10">
        <f t="shared" si="24"/>
        <v>1.9254899999999997</v>
      </c>
      <c r="G120" s="53">
        <v>18470</v>
      </c>
      <c r="H120" s="50">
        <f t="shared" si="12"/>
        <v>2.4825268817204302E-2</v>
      </c>
      <c r="I120" s="38">
        <f t="shared" si="10"/>
        <v>1.1403988387096771</v>
      </c>
    </row>
    <row r="121" spans="1:9" x14ac:dyDescent="0.3">
      <c r="A121" s="13">
        <v>116</v>
      </c>
      <c r="B121" s="11" t="s">
        <v>121</v>
      </c>
      <c r="C121" s="71">
        <v>2.7</v>
      </c>
      <c r="D121" s="59">
        <v>50</v>
      </c>
      <c r="E121" s="70">
        <v>6</v>
      </c>
      <c r="F121" s="10">
        <f t="shared" ref="F121:F123" si="25">215*1.73*6*0.8/1000</f>
        <v>1.7853599999999998</v>
      </c>
      <c r="G121" s="53">
        <v>13100</v>
      </c>
      <c r="H121" s="37">
        <f t="shared" si="12"/>
        <v>1.7607526881720431E-2</v>
      </c>
      <c r="I121" s="38">
        <f t="shared" si="10"/>
        <v>1.0606514838709675</v>
      </c>
    </row>
    <row r="122" spans="1:9" x14ac:dyDescent="0.3">
      <c r="A122" s="13">
        <v>117</v>
      </c>
      <c r="B122" s="11" t="s">
        <v>172</v>
      </c>
      <c r="C122" s="71">
        <v>6.36</v>
      </c>
      <c r="D122" s="59">
        <v>50</v>
      </c>
      <c r="E122" s="70">
        <v>6</v>
      </c>
      <c r="F122" s="10">
        <f>215*1.73*6*0.6/1000</f>
        <v>1.3390199999999997</v>
      </c>
      <c r="G122" s="53">
        <v>3951</v>
      </c>
      <c r="H122" s="50">
        <f t="shared" si="12"/>
        <v>5.3104838709677419E-3</v>
      </c>
      <c r="I122" s="38">
        <f t="shared" si="10"/>
        <v>0.80022570967741913</v>
      </c>
    </row>
    <row r="123" spans="1:9" x14ac:dyDescent="0.3">
      <c r="A123" s="13">
        <v>118</v>
      </c>
      <c r="B123" s="19" t="s">
        <v>122</v>
      </c>
      <c r="C123" s="71">
        <v>1.02</v>
      </c>
      <c r="D123" s="59">
        <v>50</v>
      </c>
      <c r="E123" s="70">
        <v>6</v>
      </c>
      <c r="F123" s="10">
        <f t="shared" si="25"/>
        <v>1.7853599999999998</v>
      </c>
      <c r="G123" s="53">
        <v>0</v>
      </c>
      <c r="H123" s="37">
        <f t="shared" si="12"/>
        <v>0</v>
      </c>
      <c r="I123" s="38">
        <f t="shared" si="10"/>
        <v>1.0712159999999999</v>
      </c>
    </row>
    <row r="124" spans="1:9" x14ac:dyDescent="0.3">
      <c r="A124" s="13">
        <v>119</v>
      </c>
      <c r="B124" s="19" t="s">
        <v>123</v>
      </c>
      <c r="C124" s="71">
        <v>3.06</v>
      </c>
      <c r="D124" s="59">
        <v>70.349999999999994</v>
      </c>
      <c r="E124" s="70">
        <v>6</v>
      </c>
      <c r="F124" s="10">
        <f t="shared" ref="F124" si="26">265*1.73*6*0.7/1000</f>
        <v>1.9254899999999997</v>
      </c>
      <c r="G124" s="53">
        <v>5153</v>
      </c>
      <c r="H124" s="50">
        <f t="shared" si="12"/>
        <v>6.926075268817204E-3</v>
      </c>
      <c r="I124" s="38">
        <f t="shared" si="10"/>
        <v>1.1511383548387095</v>
      </c>
    </row>
    <row r="125" spans="1:9" x14ac:dyDescent="0.3">
      <c r="A125" s="13">
        <v>120</v>
      </c>
      <c r="B125" s="19" t="s">
        <v>124</v>
      </c>
      <c r="C125" s="71">
        <v>1.07</v>
      </c>
      <c r="D125" s="59">
        <v>50</v>
      </c>
      <c r="E125" s="70">
        <v>6</v>
      </c>
      <c r="F125" s="10">
        <f t="shared" ref="F125" si="27">215*1.73*6*0.8/1000</f>
        <v>1.7853599999999998</v>
      </c>
      <c r="G125" s="53">
        <v>1416</v>
      </c>
      <c r="H125" s="37">
        <f t="shared" si="12"/>
        <v>1.9032258064516131E-3</v>
      </c>
      <c r="I125" s="38">
        <f t="shared" si="10"/>
        <v>1.0700740645161289</v>
      </c>
    </row>
    <row r="126" spans="1:9" x14ac:dyDescent="0.3">
      <c r="A126" s="13">
        <v>121</v>
      </c>
      <c r="B126" s="19" t="s">
        <v>125</v>
      </c>
      <c r="C126" s="71">
        <v>1.1499999999999999</v>
      </c>
      <c r="D126" s="59">
        <v>70</v>
      </c>
      <c r="E126" s="70">
        <v>6</v>
      </c>
      <c r="F126" s="10">
        <f t="shared" ref="F126" si="28">265*1.73*6*0.7/1000</f>
        <v>1.9254899999999997</v>
      </c>
      <c r="G126" s="53">
        <v>57504</v>
      </c>
      <c r="H126" s="50">
        <f t="shared" si="12"/>
        <v>7.7290322580645165E-2</v>
      </c>
      <c r="I126" s="38">
        <f t="shared" si="10"/>
        <v>1.1089198064516126</v>
      </c>
    </row>
    <row r="127" spans="1:9" x14ac:dyDescent="0.3">
      <c r="A127" s="13">
        <v>123</v>
      </c>
      <c r="B127" s="19" t="s">
        <v>126</v>
      </c>
      <c r="C127" s="71">
        <v>3.6</v>
      </c>
      <c r="D127" s="59">
        <v>70</v>
      </c>
      <c r="E127" s="70">
        <v>6</v>
      </c>
      <c r="F127" s="10">
        <f t="shared" ref="F127" si="29">265*1.73*6*0.7/1000</f>
        <v>1.9254899999999997</v>
      </c>
      <c r="G127" s="53">
        <v>360</v>
      </c>
      <c r="H127" s="50">
        <f t="shared" si="12"/>
        <v>4.8387096774193548E-4</v>
      </c>
      <c r="I127" s="38">
        <f t="shared" si="10"/>
        <v>1.1550036774193546</v>
      </c>
    </row>
    <row r="128" spans="1:9" x14ac:dyDescent="0.3">
      <c r="A128" s="13">
        <v>124</v>
      </c>
      <c r="B128" s="19" t="s">
        <v>127</v>
      </c>
      <c r="C128" s="71">
        <v>1.8</v>
      </c>
      <c r="D128" s="59">
        <v>95</v>
      </c>
      <c r="E128" s="70">
        <v>6</v>
      </c>
      <c r="F128" s="10">
        <f t="shared" ref="F128" si="30">325*1.73*35*0.8/1000</f>
        <v>15.743</v>
      </c>
      <c r="G128" s="53">
        <v>4376</v>
      </c>
      <c r="H128" s="37">
        <f t="shared" si="12"/>
        <v>5.8817204301075269E-3</v>
      </c>
      <c r="I128" s="38">
        <f t="shared" si="10"/>
        <v>9.4422709677419352</v>
      </c>
    </row>
    <row r="129" spans="1:9" ht="32.25" customHeight="1" x14ac:dyDescent="0.3">
      <c r="A129" s="13">
        <v>125</v>
      </c>
      <c r="B129" s="35" t="s">
        <v>128</v>
      </c>
      <c r="C129" s="71">
        <v>0.3</v>
      </c>
      <c r="D129" s="59">
        <v>70</v>
      </c>
      <c r="E129" s="70">
        <v>6</v>
      </c>
      <c r="F129" s="10">
        <f t="shared" ref="F129:F131" si="31">265*1.73*6*0.7/1000</f>
        <v>1.9254899999999997</v>
      </c>
      <c r="G129" s="53">
        <v>17928</v>
      </c>
      <c r="H129" s="50">
        <f t="shared" si="12"/>
        <v>2.4096774193548387E-2</v>
      </c>
      <c r="I129" s="38">
        <f t="shared" si="10"/>
        <v>1.1408359354838709</v>
      </c>
    </row>
    <row r="130" spans="1:9" x14ac:dyDescent="0.3">
      <c r="A130" s="13">
        <v>126</v>
      </c>
      <c r="B130" s="19" t="s">
        <v>129</v>
      </c>
      <c r="C130" s="71">
        <v>0.85</v>
      </c>
      <c r="D130" s="59">
        <v>70</v>
      </c>
      <c r="E130" s="70">
        <v>6</v>
      </c>
      <c r="F130" s="10">
        <f t="shared" si="31"/>
        <v>1.9254899999999997</v>
      </c>
      <c r="G130" s="53">
        <v>22416</v>
      </c>
      <c r="H130" s="37">
        <f t="shared" si="12"/>
        <v>3.0129032258064518E-2</v>
      </c>
      <c r="I130" s="38">
        <f t="shared" si="10"/>
        <v>1.1372165806451611</v>
      </c>
    </row>
    <row r="131" spans="1:9" x14ac:dyDescent="0.3">
      <c r="A131" s="13">
        <v>127</v>
      </c>
      <c r="B131" s="19" t="s">
        <v>130</v>
      </c>
      <c r="C131" s="71">
        <v>0.46</v>
      </c>
      <c r="D131" s="59">
        <v>70</v>
      </c>
      <c r="E131" s="70">
        <v>6</v>
      </c>
      <c r="F131" s="10">
        <f t="shared" si="31"/>
        <v>1.9254899999999997</v>
      </c>
      <c r="G131" s="53">
        <v>20448</v>
      </c>
      <c r="H131" s="50">
        <f t="shared" si="12"/>
        <v>2.7483870967741936E-2</v>
      </c>
      <c r="I131" s="38">
        <f t="shared" si="10"/>
        <v>1.1388036774193546</v>
      </c>
    </row>
    <row r="132" spans="1:9" x14ac:dyDescent="0.3">
      <c r="A132" s="13">
        <v>128</v>
      </c>
      <c r="B132" s="19" t="s">
        <v>131</v>
      </c>
      <c r="C132" s="71">
        <v>1</v>
      </c>
      <c r="D132" s="59">
        <v>95</v>
      </c>
      <c r="E132" s="70">
        <v>6</v>
      </c>
      <c r="F132" s="10">
        <f t="shared" ref="F132:F135" si="32">325*1.73*6*0.75/1000</f>
        <v>2.530125</v>
      </c>
      <c r="G132" s="53">
        <v>66552</v>
      </c>
      <c r="H132" s="37">
        <f t="shared" si="12"/>
        <v>8.9451612903225813E-2</v>
      </c>
      <c r="I132" s="38">
        <f t="shared" si="10"/>
        <v>1.4644040322580645</v>
      </c>
    </row>
    <row r="133" spans="1:9" x14ac:dyDescent="0.3">
      <c r="A133" s="13">
        <v>129</v>
      </c>
      <c r="B133" s="19" t="s">
        <v>132</v>
      </c>
      <c r="C133" s="71">
        <v>1</v>
      </c>
      <c r="D133" s="59">
        <v>95</v>
      </c>
      <c r="E133" s="70">
        <v>6</v>
      </c>
      <c r="F133" s="10">
        <f>325*1.73*6*0.7/1000</f>
        <v>2.3614499999999996</v>
      </c>
      <c r="G133" s="53">
        <v>11736</v>
      </c>
      <c r="H133" s="50">
        <f t="shared" ref="H133:H176" si="33">G133/744/1000</f>
        <v>1.5774193548387095E-2</v>
      </c>
      <c r="I133" s="38">
        <f t="shared" ref="I133:I176" si="34">(F133-H133)*0.6</f>
        <v>1.4074054838709675</v>
      </c>
    </row>
    <row r="134" spans="1:9" x14ac:dyDescent="0.3">
      <c r="A134" s="13">
        <v>130</v>
      </c>
      <c r="B134" s="19" t="s">
        <v>133</v>
      </c>
      <c r="C134" s="71">
        <v>0.36</v>
      </c>
      <c r="D134" s="59">
        <v>95</v>
      </c>
      <c r="E134" s="70">
        <v>6</v>
      </c>
      <c r="F134" s="10">
        <f t="shared" si="32"/>
        <v>2.530125</v>
      </c>
      <c r="G134" s="53">
        <v>96336</v>
      </c>
      <c r="H134" s="37">
        <f t="shared" si="33"/>
        <v>0.12948387096774192</v>
      </c>
      <c r="I134" s="38">
        <f t="shared" si="34"/>
        <v>1.4403846774193547</v>
      </c>
    </row>
    <row r="135" spans="1:9" x14ac:dyDescent="0.3">
      <c r="A135" s="13">
        <v>131</v>
      </c>
      <c r="B135" s="19" t="s">
        <v>134</v>
      </c>
      <c r="C135" s="72">
        <v>0.36</v>
      </c>
      <c r="D135" s="24">
        <v>95</v>
      </c>
      <c r="E135" s="70">
        <v>6</v>
      </c>
      <c r="F135" s="10">
        <f t="shared" si="32"/>
        <v>2.530125</v>
      </c>
      <c r="G135" s="53">
        <v>73584</v>
      </c>
      <c r="H135" s="50">
        <f t="shared" si="33"/>
        <v>9.8903225806451611E-2</v>
      </c>
      <c r="I135" s="38">
        <f t="shared" si="34"/>
        <v>1.4587330645161289</v>
      </c>
    </row>
    <row r="136" spans="1:9" ht="31.2" x14ac:dyDescent="0.3">
      <c r="A136" s="13">
        <v>132</v>
      </c>
      <c r="B136" s="35" t="s">
        <v>168</v>
      </c>
      <c r="C136" s="72">
        <v>0.6</v>
      </c>
      <c r="D136" s="24">
        <v>50</v>
      </c>
      <c r="E136" s="70">
        <v>6</v>
      </c>
      <c r="F136" s="10">
        <f t="shared" ref="F136:F139" si="35">215*1.73*6*0.8/1000</f>
        <v>1.7853599999999998</v>
      </c>
      <c r="G136" s="53">
        <v>36192</v>
      </c>
      <c r="H136" s="37">
        <f t="shared" si="33"/>
        <v>4.8645161290322585E-2</v>
      </c>
      <c r="I136" s="38">
        <f t="shared" si="34"/>
        <v>1.0420289032258063</v>
      </c>
    </row>
    <row r="137" spans="1:9" x14ac:dyDescent="0.3">
      <c r="A137" s="13">
        <v>133</v>
      </c>
      <c r="B137" s="15" t="s">
        <v>135</v>
      </c>
      <c r="C137" s="62">
        <v>0.8</v>
      </c>
      <c r="D137" s="64">
        <v>50</v>
      </c>
      <c r="E137" s="70">
        <v>6</v>
      </c>
      <c r="F137" s="10">
        <f t="shared" si="35"/>
        <v>1.7853599999999998</v>
      </c>
      <c r="G137" s="53">
        <v>5366</v>
      </c>
      <c r="H137" s="50">
        <f t="shared" si="33"/>
        <v>7.2123655913978492E-3</v>
      </c>
      <c r="I137" s="38">
        <f t="shared" si="34"/>
        <v>1.0668885806451611</v>
      </c>
    </row>
    <row r="138" spans="1:9" ht="24.75" customHeight="1" x14ac:dyDescent="0.3">
      <c r="A138" s="13">
        <v>134</v>
      </c>
      <c r="B138" s="19" t="s">
        <v>136</v>
      </c>
      <c r="C138" s="62">
        <v>0.3</v>
      </c>
      <c r="D138" s="64">
        <v>50</v>
      </c>
      <c r="E138" s="70">
        <v>6</v>
      </c>
      <c r="F138" s="10">
        <f t="shared" si="35"/>
        <v>1.7853599999999998</v>
      </c>
      <c r="G138" s="53">
        <v>63384</v>
      </c>
      <c r="H138" s="37">
        <f t="shared" si="33"/>
        <v>8.5193548387096765E-2</v>
      </c>
      <c r="I138" s="38">
        <f t="shared" si="34"/>
        <v>1.0200998709677418</v>
      </c>
    </row>
    <row r="139" spans="1:9" ht="31.2" x14ac:dyDescent="0.3">
      <c r="A139" s="13">
        <v>135</v>
      </c>
      <c r="B139" s="35" t="s">
        <v>137</v>
      </c>
      <c r="C139" s="62">
        <v>0.9</v>
      </c>
      <c r="D139" s="64">
        <v>50</v>
      </c>
      <c r="E139" s="70">
        <v>6</v>
      </c>
      <c r="F139" s="10">
        <f t="shared" si="35"/>
        <v>1.7853599999999998</v>
      </c>
      <c r="G139" s="53">
        <v>0</v>
      </c>
      <c r="H139" s="50">
        <f t="shared" si="33"/>
        <v>0</v>
      </c>
      <c r="I139" s="38">
        <f t="shared" si="34"/>
        <v>1.0712159999999999</v>
      </c>
    </row>
    <row r="140" spans="1:9" x14ac:dyDescent="0.3">
      <c r="A140" s="13">
        <v>136</v>
      </c>
      <c r="B140" s="15" t="s">
        <v>138</v>
      </c>
      <c r="C140" s="62">
        <v>3.5</v>
      </c>
      <c r="D140" s="64">
        <v>35</v>
      </c>
      <c r="E140" s="70">
        <v>6</v>
      </c>
      <c r="F140" s="10">
        <f t="shared" ref="F140" si="36">170*1.73*35*0.8/1000</f>
        <v>8.2348000000000017</v>
      </c>
      <c r="G140" s="53">
        <v>3924</v>
      </c>
      <c r="H140" s="37">
        <f t="shared" si="33"/>
        <v>5.274193548387097E-3</v>
      </c>
      <c r="I140" s="38">
        <f t="shared" si="34"/>
        <v>4.937715483870968</v>
      </c>
    </row>
    <row r="141" spans="1:9" x14ac:dyDescent="0.3">
      <c r="A141" s="13">
        <v>137</v>
      </c>
      <c r="B141" s="35" t="s">
        <v>139</v>
      </c>
      <c r="C141" s="62">
        <v>2.64</v>
      </c>
      <c r="D141" s="64">
        <v>70</v>
      </c>
      <c r="E141" s="70">
        <v>6</v>
      </c>
      <c r="F141" s="10">
        <f t="shared" ref="F141" si="37">265*1.73*6*0.7/1000</f>
        <v>1.9254899999999997</v>
      </c>
      <c r="G141" s="53">
        <v>137</v>
      </c>
      <c r="H141" s="50">
        <f t="shared" si="33"/>
        <v>1.8413978494623656E-4</v>
      </c>
      <c r="I141" s="38">
        <f t="shared" si="34"/>
        <v>1.155183516129032</v>
      </c>
    </row>
    <row r="142" spans="1:9" x14ac:dyDescent="0.3">
      <c r="A142" s="13">
        <v>138</v>
      </c>
      <c r="B142" s="11" t="s">
        <v>140</v>
      </c>
      <c r="C142" s="68">
        <v>2.64</v>
      </c>
      <c r="D142" s="59">
        <v>95</v>
      </c>
      <c r="E142" s="70">
        <v>6</v>
      </c>
      <c r="F142" s="10">
        <f>325*1.73*6*0.7/1000</f>
        <v>2.3614499999999996</v>
      </c>
      <c r="G142" s="53">
        <v>87732</v>
      </c>
      <c r="H142" s="37">
        <f t="shared" si="33"/>
        <v>0.11791935483870968</v>
      </c>
      <c r="I142" s="38">
        <f t="shared" si="34"/>
        <v>1.3461183870967739</v>
      </c>
    </row>
    <row r="143" spans="1:9" x14ac:dyDescent="0.3">
      <c r="A143" s="13">
        <v>139</v>
      </c>
      <c r="B143" s="11" t="s">
        <v>141</v>
      </c>
      <c r="C143" s="20">
        <v>1.2</v>
      </c>
      <c r="D143" s="21">
        <v>95</v>
      </c>
      <c r="E143" s="70">
        <v>6</v>
      </c>
      <c r="F143" s="10">
        <f t="shared" ref="F143:F151" si="38">325*1.73*6*0.75/1000</f>
        <v>2.530125</v>
      </c>
      <c r="G143" s="53">
        <v>438840</v>
      </c>
      <c r="H143" s="50">
        <f t="shared" si="33"/>
        <v>0.58983870967741936</v>
      </c>
      <c r="I143" s="38">
        <f t="shared" si="34"/>
        <v>1.1641717741935482</v>
      </c>
    </row>
    <row r="144" spans="1:9" x14ac:dyDescent="0.3">
      <c r="A144" s="13">
        <v>140</v>
      </c>
      <c r="B144" s="11" t="s">
        <v>169</v>
      </c>
      <c r="C144" s="20">
        <v>2.4</v>
      </c>
      <c r="D144" s="21">
        <v>95</v>
      </c>
      <c r="E144" s="70">
        <v>6</v>
      </c>
      <c r="F144" s="10">
        <f t="shared" si="38"/>
        <v>2.530125</v>
      </c>
      <c r="G144" s="53">
        <f>950486+636</f>
        <v>951122</v>
      </c>
      <c r="H144" s="37">
        <f t="shared" si="33"/>
        <v>1.2783897849462367</v>
      </c>
      <c r="I144" s="38">
        <f t="shared" si="34"/>
        <v>0.75104112903225795</v>
      </c>
    </row>
    <row r="145" spans="1:9" ht="31.2" x14ac:dyDescent="0.3">
      <c r="A145" s="13">
        <v>141</v>
      </c>
      <c r="B145" s="36" t="s">
        <v>171</v>
      </c>
      <c r="C145" s="20">
        <v>6.5</v>
      </c>
      <c r="D145" s="21">
        <v>95</v>
      </c>
      <c r="E145" s="70">
        <v>6</v>
      </c>
      <c r="F145" s="10">
        <f t="shared" si="38"/>
        <v>2.530125</v>
      </c>
      <c r="G145" s="53">
        <v>173277</v>
      </c>
      <c r="H145" s="50">
        <f t="shared" si="33"/>
        <v>0.23289919354838709</v>
      </c>
      <c r="I145" s="38">
        <f t="shared" si="34"/>
        <v>1.3783354838709676</v>
      </c>
    </row>
    <row r="146" spans="1:9" x14ac:dyDescent="0.3">
      <c r="A146" s="13">
        <v>142</v>
      </c>
      <c r="B146" s="11" t="s">
        <v>142</v>
      </c>
      <c r="C146" s="20">
        <v>0.9</v>
      </c>
      <c r="D146" s="21">
        <v>95</v>
      </c>
      <c r="E146" s="70">
        <v>6</v>
      </c>
      <c r="F146" s="10">
        <f t="shared" si="38"/>
        <v>2.530125</v>
      </c>
      <c r="G146" s="53"/>
      <c r="H146" s="37">
        <f t="shared" si="33"/>
        <v>0</v>
      </c>
      <c r="I146" s="38">
        <f>(F146-H146)*0.6</f>
        <v>1.5180749999999998</v>
      </c>
    </row>
    <row r="147" spans="1:9" x14ac:dyDescent="0.3">
      <c r="A147" s="13">
        <v>143</v>
      </c>
      <c r="B147" s="11" t="s">
        <v>143</v>
      </c>
      <c r="C147" s="20">
        <v>0.9</v>
      </c>
      <c r="D147" s="21">
        <v>95</v>
      </c>
      <c r="E147" s="70">
        <v>6</v>
      </c>
      <c r="F147" s="10">
        <f t="shared" si="38"/>
        <v>2.530125</v>
      </c>
      <c r="G147" s="53">
        <f>413712+104724</f>
        <v>518436</v>
      </c>
      <c r="H147" s="50">
        <f t="shared" si="33"/>
        <v>0.69682258064516134</v>
      </c>
      <c r="I147" s="38">
        <f t="shared" si="34"/>
        <v>1.0999814516129032</v>
      </c>
    </row>
    <row r="148" spans="1:9" x14ac:dyDescent="0.3">
      <c r="A148" s="13">
        <v>144</v>
      </c>
      <c r="B148" s="11" t="s">
        <v>144</v>
      </c>
      <c r="C148" s="20">
        <v>0.8</v>
      </c>
      <c r="D148" s="21">
        <v>95</v>
      </c>
      <c r="E148" s="70">
        <v>6</v>
      </c>
      <c r="F148" s="10">
        <f t="shared" si="38"/>
        <v>2.530125</v>
      </c>
      <c r="G148" s="53">
        <v>0</v>
      </c>
      <c r="H148" s="37">
        <f t="shared" si="33"/>
        <v>0</v>
      </c>
      <c r="I148" s="38">
        <f t="shared" si="34"/>
        <v>1.5180749999999998</v>
      </c>
    </row>
    <row r="149" spans="1:9" x14ac:dyDescent="0.3">
      <c r="A149" s="13">
        <v>145</v>
      </c>
      <c r="B149" s="11" t="s">
        <v>145</v>
      </c>
      <c r="C149" s="20">
        <v>1.2</v>
      </c>
      <c r="D149" s="21">
        <v>95</v>
      </c>
      <c r="E149" s="70">
        <v>6</v>
      </c>
      <c r="F149" s="10">
        <f t="shared" si="38"/>
        <v>2.530125</v>
      </c>
      <c r="G149" s="53">
        <v>1101360</v>
      </c>
      <c r="H149" s="50">
        <f t="shared" si="33"/>
        <v>1.4803225806451612</v>
      </c>
      <c r="I149" s="38">
        <f t="shared" si="34"/>
        <v>0.62988145161290321</v>
      </c>
    </row>
    <row r="150" spans="1:9" x14ac:dyDescent="0.3">
      <c r="A150" s="13">
        <v>146</v>
      </c>
      <c r="B150" s="11" t="s">
        <v>146</v>
      </c>
      <c r="C150" s="20">
        <v>0.65</v>
      </c>
      <c r="D150" s="21">
        <v>95</v>
      </c>
      <c r="E150" s="70">
        <v>6</v>
      </c>
      <c r="F150" s="10">
        <f t="shared" si="38"/>
        <v>2.530125</v>
      </c>
      <c r="G150" s="53">
        <v>410928</v>
      </c>
      <c r="H150" s="37">
        <f t="shared" si="33"/>
        <v>0.55232258064516138</v>
      </c>
      <c r="I150" s="38">
        <f t="shared" si="34"/>
        <v>1.1866814516129029</v>
      </c>
    </row>
    <row r="151" spans="1:9" x14ac:dyDescent="0.3">
      <c r="A151" s="13">
        <v>147</v>
      </c>
      <c r="B151" s="11" t="s">
        <v>147</v>
      </c>
      <c r="C151" s="23">
        <v>2.1</v>
      </c>
      <c r="D151" s="24">
        <v>95</v>
      </c>
      <c r="E151" s="70">
        <v>6</v>
      </c>
      <c r="F151" s="10">
        <f t="shared" si="38"/>
        <v>2.530125</v>
      </c>
      <c r="G151" s="53">
        <v>818376</v>
      </c>
      <c r="H151" s="50">
        <f t="shared" si="33"/>
        <v>1.0999677419354839</v>
      </c>
      <c r="I151" s="38">
        <f t="shared" si="34"/>
        <v>0.85809435483870966</v>
      </c>
    </row>
    <row r="152" spans="1:9" x14ac:dyDescent="0.3">
      <c r="A152" s="13">
        <v>148</v>
      </c>
      <c r="B152" s="11" t="s">
        <v>148</v>
      </c>
      <c r="C152" s="23">
        <v>0.6</v>
      </c>
      <c r="D152" s="24">
        <v>70</v>
      </c>
      <c r="E152" s="70">
        <v>6</v>
      </c>
      <c r="F152" s="10">
        <f t="shared" ref="F152" si="39">265*1.73*6*0.7/1000</f>
        <v>1.9254899999999997</v>
      </c>
      <c r="G152" s="53">
        <v>900</v>
      </c>
      <c r="H152" s="37">
        <f t="shared" si="33"/>
        <v>1.2096774193548388E-3</v>
      </c>
      <c r="I152" s="38">
        <f t="shared" si="34"/>
        <v>1.1545681935483869</v>
      </c>
    </row>
    <row r="153" spans="1:9" ht="31.2" x14ac:dyDescent="0.3">
      <c r="A153" s="13">
        <v>149</v>
      </c>
      <c r="B153" s="36" t="s">
        <v>166</v>
      </c>
      <c r="C153" s="20">
        <v>1.62</v>
      </c>
      <c r="D153" s="21">
        <v>95</v>
      </c>
      <c r="E153" s="70">
        <v>6</v>
      </c>
      <c r="F153" s="10">
        <f t="shared" ref="F153:F160" si="40">325*1.73*6*0.75/1000</f>
        <v>2.530125</v>
      </c>
      <c r="G153" s="53">
        <v>333000</v>
      </c>
      <c r="H153" s="50">
        <f t="shared" si="33"/>
        <v>0.44758064516129031</v>
      </c>
      <c r="I153" s="38">
        <f t="shared" si="34"/>
        <v>1.2495266129032256</v>
      </c>
    </row>
    <row r="154" spans="1:9" x14ac:dyDescent="0.3">
      <c r="A154" s="13">
        <v>150</v>
      </c>
      <c r="B154" s="11" t="s">
        <v>149</v>
      </c>
      <c r="C154" s="20">
        <v>3.15</v>
      </c>
      <c r="D154" s="21">
        <v>95</v>
      </c>
      <c r="E154" s="70">
        <v>6</v>
      </c>
      <c r="F154" s="10">
        <f>325*1.73*6*0.7/1000</f>
        <v>2.3614499999999996</v>
      </c>
      <c r="G154" s="53">
        <v>639756</v>
      </c>
      <c r="H154" s="37">
        <f t="shared" si="33"/>
        <v>0.8598870967741935</v>
      </c>
      <c r="I154" s="38">
        <f t="shared" si="34"/>
        <v>0.90093774193548359</v>
      </c>
    </row>
    <row r="155" spans="1:9" x14ac:dyDescent="0.3">
      <c r="A155" s="13">
        <v>151</v>
      </c>
      <c r="B155" s="22" t="s">
        <v>150</v>
      </c>
      <c r="C155" s="20">
        <v>1.2</v>
      </c>
      <c r="D155" s="21">
        <v>95</v>
      </c>
      <c r="E155" s="70">
        <v>6</v>
      </c>
      <c r="F155" s="10">
        <f t="shared" si="40"/>
        <v>2.530125</v>
      </c>
      <c r="G155" s="53">
        <v>648144</v>
      </c>
      <c r="H155" s="50">
        <f t="shared" si="33"/>
        <v>0.87116129032258061</v>
      </c>
      <c r="I155" s="38">
        <f t="shared" si="34"/>
        <v>0.99537822580645163</v>
      </c>
    </row>
    <row r="156" spans="1:9" x14ac:dyDescent="0.3">
      <c r="A156" s="13">
        <v>152</v>
      </c>
      <c r="B156" s="22" t="s">
        <v>151</v>
      </c>
      <c r="C156" s="20">
        <v>3.1</v>
      </c>
      <c r="D156" s="21">
        <v>95</v>
      </c>
      <c r="E156" s="70">
        <v>6</v>
      </c>
      <c r="F156" s="10">
        <f t="shared" si="40"/>
        <v>2.530125</v>
      </c>
      <c r="G156" s="53">
        <v>333000</v>
      </c>
      <c r="H156" s="37">
        <f t="shared" si="33"/>
        <v>0.44758064516129031</v>
      </c>
      <c r="I156" s="38">
        <f t="shared" si="34"/>
        <v>1.2495266129032256</v>
      </c>
    </row>
    <row r="157" spans="1:9" x14ac:dyDescent="0.3">
      <c r="A157" s="13">
        <v>153</v>
      </c>
      <c r="B157" s="22" t="s">
        <v>152</v>
      </c>
      <c r="C157" s="20">
        <v>3.6</v>
      </c>
      <c r="D157" s="21">
        <v>95</v>
      </c>
      <c r="E157" s="70">
        <v>6</v>
      </c>
      <c r="F157" s="10">
        <f t="shared" si="40"/>
        <v>2.530125</v>
      </c>
      <c r="G157" s="53">
        <v>175212</v>
      </c>
      <c r="H157" s="50">
        <f t="shared" si="33"/>
        <v>0.23549999999999999</v>
      </c>
      <c r="I157" s="38">
        <f t="shared" si="34"/>
        <v>1.3767749999999999</v>
      </c>
    </row>
    <row r="158" spans="1:9" x14ac:dyDescent="0.3">
      <c r="A158" s="13">
        <v>154</v>
      </c>
      <c r="B158" s="22" t="s">
        <v>153</v>
      </c>
      <c r="C158" s="20">
        <v>5.85</v>
      </c>
      <c r="D158" s="21">
        <v>95</v>
      </c>
      <c r="E158" s="70">
        <v>6</v>
      </c>
      <c r="F158" s="10">
        <f>325*1.73*6*0.64/1000</f>
        <v>2.1590400000000001</v>
      </c>
      <c r="G158" s="53">
        <v>123120</v>
      </c>
      <c r="H158" s="37">
        <f t="shared" si="33"/>
        <v>0.16548387096774192</v>
      </c>
      <c r="I158" s="38">
        <f t="shared" si="34"/>
        <v>1.1961336774193547</v>
      </c>
    </row>
    <row r="159" spans="1:9" x14ac:dyDescent="0.3">
      <c r="A159" s="13">
        <v>155</v>
      </c>
      <c r="B159" s="22" t="s">
        <v>154</v>
      </c>
      <c r="C159" s="20">
        <v>2.1</v>
      </c>
      <c r="D159" s="21">
        <v>95</v>
      </c>
      <c r="E159" s="70">
        <v>6</v>
      </c>
      <c r="F159" s="10">
        <f t="shared" si="40"/>
        <v>2.530125</v>
      </c>
      <c r="G159" s="53">
        <v>287028</v>
      </c>
      <c r="H159" s="50">
        <f t="shared" si="33"/>
        <v>0.38579032258064516</v>
      </c>
      <c r="I159" s="38">
        <f t="shared" si="34"/>
        <v>1.286600806451613</v>
      </c>
    </row>
    <row r="160" spans="1:9" x14ac:dyDescent="0.3">
      <c r="A160" s="13">
        <v>156</v>
      </c>
      <c r="B160" s="22" t="s">
        <v>155</v>
      </c>
      <c r="C160" s="23">
        <v>0.8</v>
      </c>
      <c r="D160" s="24">
        <v>95</v>
      </c>
      <c r="E160" s="70">
        <v>6</v>
      </c>
      <c r="F160" s="10">
        <f t="shared" si="40"/>
        <v>2.530125</v>
      </c>
      <c r="G160" s="53">
        <v>30494</v>
      </c>
      <c r="H160" s="37">
        <f t="shared" si="33"/>
        <v>4.0986559139784946E-2</v>
      </c>
      <c r="I160" s="38">
        <f t="shared" si="34"/>
        <v>1.493483064516129</v>
      </c>
    </row>
    <row r="161" spans="1:9" x14ac:dyDescent="0.3">
      <c r="A161" s="13">
        <v>157</v>
      </c>
      <c r="B161" s="11" t="s">
        <v>173</v>
      </c>
      <c r="C161" s="68">
        <v>2.0259999999999998</v>
      </c>
      <c r="D161" s="59">
        <v>95</v>
      </c>
      <c r="E161" s="70">
        <v>6</v>
      </c>
      <c r="F161" s="10">
        <f>325*1.73*6*0.7/1000</f>
        <v>2.3614499999999996</v>
      </c>
      <c r="G161" s="53">
        <v>406536</v>
      </c>
      <c r="H161" s="50">
        <f t="shared" si="33"/>
        <v>0.54641935483870963</v>
      </c>
      <c r="I161" s="38">
        <f t="shared" si="34"/>
        <v>1.0890183870967738</v>
      </c>
    </row>
    <row r="162" spans="1:9" x14ac:dyDescent="0.3">
      <c r="A162" s="13">
        <v>159</v>
      </c>
      <c r="B162" s="11" t="s">
        <v>174</v>
      </c>
      <c r="C162" s="68">
        <v>1.48</v>
      </c>
      <c r="D162" s="59">
        <v>95</v>
      </c>
      <c r="E162" s="70">
        <v>6</v>
      </c>
      <c r="F162" s="10">
        <f t="shared" ref="F162:F165" si="41">325*1.73*6*0.75/1000</f>
        <v>2.530125</v>
      </c>
      <c r="G162" s="53">
        <v>59976</v>
      </c>
      <c r="H162" s="50">
        <f t="shared" si="33"/>
        <v>8.0612903225806443E-2</v>
      </c>
      <c r="I162" s="38">
        <f t="shared" si="34"/>
        <v>1.4697072580645161</v>
      </c>
    </row>
    <row r="163" spans="1:9" x14ac:dyDescent="0.3">
      <c r="A163" s="13">
        <v>160</v>
      </c>
      <c r="B163" s="11" t="s">
        <v>175</v>
      </c>
      <c r="C163" s="68">
        <v>4.66</v>
      </c>
      <c r="D163" s="59">
        <v>95</v>
      </c>
      <c r="E163" s="70">
        <v>6</v>
      </c>
      <c r="F163" s="10">
        <f>325*1.73*6*0.64/1000</f>
        <v>2.1590400000000001</v>
      </c>
      <c r="G163" s="53">
        <v>539712</v>
      </c>
      <c r="H163" s="37">
        <f t="shared" si="33"/>
        <v>0.72541935483870967</v>
      </c>
      <c r="I163" s="38">
        <f t="shared" si="34"/>
        <v>0.86017238709677424</v>
      </c>
    </row>
    <row r="164" spans="1:9" x14ac:dyDescent="0.3">
      <c r="A164" s="13">
        <v>161</v>
      </c>
      <c r="B164" s="11" t="s">
        <v>176</v>
      </c>
      <c r="C164" s="68">
        <v>2.3809999999999998</v>
      </c>
      <c r="D164" s="59">
        <v>95</v>
      </c>
      <c r="E164" s="70">
        <v>6</v>
      </c>
      <c r="F164" s="10">
        <f t="shared" si="41"/>
        <v>2.530125</v>
      </c>
      <c r="G164" s="53">
        <v>31608</v>
      </c>
      <c r="H164" s="50">
        <f t="shared" si="33"/>
        <v>4.2483870967741935E-2</v>
      </c>
      <c r="I164" s="38">
        <f t="shared" si="34"/>
        <v>1.492584677419355</v>
      </c>
    </row>
    <row r="165" spans="1:9" x14ac:dyDescent="0.3">
      <c r="A165" s="13">
        <v>162</v>
      </c>
      <c r="B165" s="11" t="s">
        <v>177</v>
      </c>
      <c r="C165" s="68">
        <v>3.5</v>
      </c>
      <c r="D165" s="59">
        <v>95</v>
      </c>
      <c r="E165" s="70">
        <v>6</v>
      </c>
      <c r="F165" s="10">
        <f t="shared" si="41"/>
        <v>2.530125</v>
      </c>
      <c r="G165" s="53">
        <v>74520</v>
      </c>
      <c r="H165" s="37">
        <f t="shared" si="33"/>
        <v>0.10016129032258064</v>
      </c>
      <c r="I165" s="38">
        <f t="shared" si="34"/>
        <v>1.4579782258064515</v>
      </c>
    </row>
    <row r="166" spans="1:9" x14ac:dyDescent="0.3">
      <c r="A166" s="13">
        <v>163</v>
      </c>
      <c r="B166" s="11" t="s">
        <v>156</v>
      </c>
      <c r="C166" s="68">
        <v>0.35</v>
      </c>
      <c r="D166" s="59">
        <v>70</v>
      </c>
      <c r="E166" s="70">
        <v>6</v>
      </c>
      <c r="F166" s="10">
        <f t="shared" ref="F166" si="42">265*1.73*6*0.7/1000</f>
        <v>1.9254899999999997</v>
      </c>
      <c r="G166" s="53">
        <v>16836</v>
      </c>
      <c r="H166" s="50">
        <f t="shared" si="33"/>
        <v>2.2629032258064515E-2</v>
      </c>
      <c r="I166" s="38">
        <f t="shared" si="34"/>
        <v>1.141716580645161</v>
      </c>
    </row>
    <row r="167" spans="1:9" x14ac:dyDescent="0.3">
      <c r="A167" s="13">
        <v>164</v>
      </c>
      <c r="B167" s="11" t="s">
        <v>157</v>
      </c>
      <c r="C167" s="68">
        <v>1.087</v>
      </c>
      <c r="D167" s="59">
        <v>95</v>
      </c>
      <c r="E167" s="70">
        <v>6</v>
      </c>
      <c r="F167" s="10">
        <f t="shared" ref="F167" si="43">325*1.73*6*0.75/1000</f>
        <v>2.530125</v>
      </c>
      <c r="G167" s="53">
        <v>179388</v>
      </c>
      <c r="H167" s="37">
        <f t="shared" si="33"/>
        <v>0.24111290322580647</v>
      </c>
      <c r="I167" s="38">
        <f t="shared" si="34"/>
        <v>1.373407258064516</v>
      </c>
    </row>
    <row r="168" spans="1:9" x14ac:dyDescent="0.3">
      <c r="A168" s="13">
        <v>165</v>
      </c>
      <c r="B168" s="11" t="s">
        <v>167</v>
      </c>
      <c r="C168" s="68">
        <v>1.4</v>
      </c>
      <c r="D168" s="59">
        <v>50</v>
      </c>
      <c r="E168" s="70">
        <v>6</v>
      </c>
      <c r="F168" s="10">
        <f t="shared" ref="F168" si="44">215*1.73*6*0.8/1000</f>
        <v>1.7853599999999998</v>
      </c>
      <c r="G168" s="53">
        <v>181896</v>
      </c>
      <c r="H168" s="50">
        <f t="shared" si="33"/>
        <v>0.24448387096774193</v>
      </c>
      <c r="I168" s="38">
        <f t="shared" si="34"/>
        <v>0.92452567741935465</v>
      </c>
    </row>
    <row r="169" spans="1:9" ht="17.25" customHeight="1" x14ac:dyDescent="0.3">
      <c r="A169" s="13">
        <v>166</v>
      </c>
      <c r="B169" s="36" t="s">
        <v>158</v>
      </c>
      <c r="C169" s="68">
        <v>1.56</v>
      </c>
      <c r="D169" s="59">
        <v>95</v>
      </c>
      <c r="E169" s="70">
        <v>6</v>
      </c>
      <c r="F169" s="10">
        <f t="shared" ref="F169:F171" si="45">325*1.73*6*0.75/1000</f>
        <v>2.530125</v>
      </c>
      <c r="G169" s="53">
        <v>114852</v>
      </c>
      <c r="H169" s="37">
        <f t="shared" si="33"/>
        <v>0.15437096774193548</v>
      </c>
      <c r="I169" s="38">
        <f>(F169-H169)*0.8</f>
        <v>1.9006032258064516</v>
      </c>
    </row>
    <row r="170" spans="1:9" x14ac:dyDescent="0.3">
      <c r="A170" s="13">
        <v>167</v>
      </c>
      <c r="B170" s="11" t="s">
        <v>178</v>
      </c>
      <c r="C170" s="68">
        <v>2.512</v>
      </c>
      <c r="D170" s="59">
        <v>95</v>
      </c>
      <c r="E170" s="70">
        <v>6</v>
      </c>
      <c r="F170" s="10">
        <f>325*1.73*6*0.7/1000</f>
        <v>2.3614499999999996</v>
      </c>
      <c r="G170" s="53">
        <v>210240</v>
      </c>
      <c r="H170" s="50">
        <f t="shared" si="33"/>
        <v>0.28258064516129033</v>
      </c>
      <c r="I170" s="38">
        <f t="shared" si="34"/>
        <v>1.2473216129032254</v>
      </c>
    </row>
    <row r="171" spans="1:9" x14ac:dyDescent="0.3">
      <c r="A171" s="13">
        <v>168</v>
      </c>
      <c r="B171" s="11" t="s">
        <v>179</v>
      </c>
      <c r="C171" s="68">
        <v>1.232</v>
      </c>
      <c r="D171" s="59">
        <v>95</v>
      </c>
      <c r="E171" s="70">
        <v>6</v>
      </c>
      <c r="F171" s="10">
        <f t="shared" si="45"/>
        <v>2.530125</v>
      </c>
      <c r="G171" s="53">
        <v>220224</v>
      </c>
      <c r="H171" s="37">
        <f t="shared" si="33"/>
        <v>0.29599999999999999</v>
      </c>
      <c r="I171" s="38">
        <f t="shared" si="34"/>
        <v>1.3404750000000001</v>
      </c>
    </row>
    <row r="172" spans="1:9" x14ac:dyDescent="0.3">
      <c r="A172" s="13">
        <v>169</v>
      </c>
      <c r="B172" s="11" t="s">
        <v>182</v>
      </c>
      <c r="C172" s="68">
        <v>4.9660000000000002</v>
      </c>
      <c r="D172" s="59">
        <v>95</v>
      </c>
      <c r="E172" s="70">
        <v>6</v>
      </c>
      <c r="F172" s="10">
        <f>325*1.73*6*0.64/1000</f>
        <v>2.1590400000000001</v>
      </c>
      <c r="G172" s="53">
        <v>315192</v>
      </c>
      <c r="H172" s="50">
        <f t="shared" si="33"/>
        <v>0.42364516129032254</v>
      </c>
      <c r="I172" s="38">
        <f t="shared" si="34"/>
        <v>1.0412369032258064</v>
      </c>
    </row>
    <row r="173" spans="1:9" x14ac:dyDescent="0.3">
      <c r="A173" s="13">
        <v>170</v>
      </c>
      <c r="B173" s="11" t="s">
        <v>159</v>
      </c>
      <c r="C173" s="68">
        <v>2.6659999999999999</v>
      </c>
      <c r="D173" s="59">
        <v>95</v>
      </c>
      <c r="E173" s="70">
        <v>6</v>
      </c>
      <c r="F173" s="10">
        <f>325*1.73*6*0.7/1000</f>
        <v>2.3614499999999996</v>
      </c>
      <c r="G173" s="53">
        <v>0</v>
      </c>
      <c r="H173" s="37">
        <f t="shared" si="33"/>
        <v>0</v>
      </c>
      <c r="I173" s="38">
        <f>(F173-H173)*0.8</f>
        <v>1.8891599999999997</v>
      </c>
    </row>
    <row r="174" spans="1:9" x14ac:dyDescent="0.3">
      <c r="A174" s="13">
        <v>171</v>
      </c>
      <c r="B174" s="11" t="s">
        <v>181</v>
      </c>
      <c r="C174" s="68">
        <v>2.4039999999999999</v>
      </c>
      <c r="D174" s="59">
        <v>70</v>
      </c>
      <c r="E174" s="70">
        <v>6</v>
      </c>
      <c r="F174" s="10">
        <f>265*1.73*6*0.67/1000</f>
        <v>1.8429690000000001</v>
      </c>
      <c r="G174" s="53">
        <v>336840</v>
      </c>
      <c r="H174" s="50">
        <f t="shared" si="33"/>
        <v>0.45274193548387098</v>
      </c>
      <c r="I174" s="38">
        <f t="shared" si="34"/>
        <v>0.83413623870967746</v>
      </c>
    </row>
    <row r="175" spans="1:9" x14ac:dyDescent="0.3">
      <c r="A175" s="13">
        <v>172</v>
      </c>
      <c r="B175" s="11" t="s">
        <v>180</v>
      </c>
      <c r="C175" s="68">
        <v>3.7480000000000002</v>
      </c>
      <c r="D175" s="59">
        <v>95</v>
      </c>
      <c r="E175" s="70">
        <v>6</v>
      </c>
      <c r="F175" s="10">
        <f>325*1.73*6*0.7/1000</f>
        <v>2.3614499999999996</v>
      </c>
      <c r="G175" s="53">
        <v>12648</v>
      </c>
      <c r="H175" s="37">
        <f t="shared" si="33"/>
        <v>1.7000000000000001E-2</v>
      </c>
      <c r="I175" s="38">
        <f t="shared" si="34"/>
        <v>1.4066699999999999</v>
      </c>
    </row>
    <row r="176" spans="1:9" x14ac:dyDescent="0.3">
      <c r="A176" s="13">
        <v>173</v>
      </c>
      <c r="B176" s="11" t="s">
        <v>160</v>
      </c>
      <c r="C176" s="68">
        <v>0.92</v>
      </c>
      <c r="D176" s="59">
        <v>70</v>
      </c>
      <c r="E176" s="70">
        <v>6</v>
      </c>
      <c r="F176" s="10">
        <f t="shared" ref="F176" si="46">265*1.73*6*0.7/1000</f>
        <v>1.9254899999999997</v>
      </c>
      <c r="G176" s="53">
        <v>0</v>
      </c>
      <c r="H176" s="50">
        <f t="shared" si="33"/>
        <v>0</v>
      </c>
      <c r="I176" s="38">
        <f t="shared" si="34"/>
        <v>1.1552939999999998</v>
      </c>
    </row>
  </sheetData>
  <mergeCells count="2">
    <mergeCell ref="A2:I2"/>
    <mergeCell ref="A1:G1"/>
  </mergeCells>
  <pageMargins left="0.7" right="0.7" top="0.75" bottom="0.75" header="0.3" footer="0.3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2022-08-25T09:58:51Z</dcterms:modified>
</cp:coreProperties>
</file>